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rontomusicians.sharepoint.com/sites/allstaff-BusinessRepresentative/Shared Documents/Business Representatives/Agreements/Live Agreements/General Live/General Tariff of Fees/"/>
    </mc:Choice>
  </mc:AlternateContent>
  <xr:revisionPtr revIDLastSave="30" documentId="8_{3755C4C3-BDEB-4232-A72C-65B6A0ED4448}" xr6:coauthVersionLast="47" xr6:coauthVersionMax="47" xr10:uidLastSave="{139BD117-C676-4031-A149-17A46165B642}"/>
  <bookViews>
    <workbookView xWindow="1402" yWindow="4748" windowWidth="30488" windowHeight="17264" xr2:uid="{FEBCF8B6-B2AD-4F62-BA30-7B8D839ED738}"/>
  </bookViews>
  <sheets>
    <sheet name="General Scale Worksheet" sheetId="1" r:id="rId1"/>
    <sheet name="TMA Tariff Rate Chart" sheetId="2" r:id="rId2"/>
  </sheets>
  <definedNames>
    <definedName name="_xlnm.Print_Area" localSheetId="0">'General Scale Worksheet'!$A$1:$AA$44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2" i="1" l="1"/>
  <c r="W21" i="1"/>
  <c r="Y21" i="1"/>
  <c r="Y19" i="1"/>
  <c r="Y18" i="1"/>
  <c r="Y17" i="1"/>
  <c r="Y16" i="1"/>
  <c r="W17" i="1"/>
  <c r="W16" i="1"/>
  <c r="W18" i="1" l="1"/>
  <c r="U17" i="1"/>
  <c r="U16" i="1"/>
  <c r="G17" i="1" a="1"/>
  <c r="G17" i="1" s="1"/>
  <c r="K17" i="1" s="1"/>
  <c r="D10" i="1" a="1"/>
  <c r="D10" i="1" s="1"/>
  <c r="G16" i="1" a="1"/>
  <c r="G16" i="1" s="1"/>
  <c r="K16" i="1" s="1"/>
  <c r="G18" i="1" a="1"/>
  <c r="G18" i="1" s="1"/>
  <c r="K18" i="1" s="1"/>
  <c r="E22" i="2"/>
  <c r="D22" i="2"/>
  <c r="C19" i="2"/>
  <c r="B20" i="2"/>
  <c r="B14" i="2"/>
  <c r="B15" i="2"/>
  <c r="G25" i="1" a="1"/>
  <c r="G25" i="1" s="1"/>
  <c r="K25" i="1" s="1"/>
  <c r="G24" i="1" a="1"/>
  <c r="G24" i="1" s="1"/>
  <c r="K24" i="1" s="1"/>
  <c r="G23" i="1" a="1"/>
  <c r="G23" i="1" s="1"/>
  <c r="K23" i="1" s="1"/>
  <c r="G22" i="1" a="1"/>
  <c r="G22" i="1" s="1"/>
  <c r="K22" i="1" s="1"/>
  <c r="G21" i="1" a="1"/>
  <c r="G21" i="1" s="1"/>
  <c r="K21" i="1" s="1"/>
  <c r="G20" i="1" a="1"/>
  <c r="G20" i="1" s="1"/>
  <c r="K20" i="1" s="1"/>
  <c r="G19" i="1" a="1"/>
  <c r="G19" i="1" s="1"/>
  <c r="K19" i="1" s="1"/>
  <c r="B21" i="2"/>
  <c r="D19" i="2"/>
  <c r="E19" i="2"/>
  <c r="B19" i="2"/>
  <c r="D18" i="2"/>
  <c r="E18" i="2"/>
  <c r="D24" i="2"/>
  <c r="E24" i="2"/>
  <c r="C24" i="2"/>
  <c r="D23" i="2"/>
  <c r="E23" i="2"/>
  <c r="C23" i="2"/>
  <c r="C22" i="2"/>
  <c r="C18" i="2"/>
  <c r="D13" i="2"/>
  <c r="E13" i="2"/>
  <c r="C13" i="2"/>
  <c r="C17" i="2"/>
  <c r="C16" i="2"/>
  <c r="C12" i="2"/>
  <c r="D11" i="2"/>
  <c r="E11" i="2"/>
  <c r="C11" i="2"/>
  <c r="D9" i="2"/>
  <c r="D14" i="2"/>
  <c r="D15" i="2"/>
  <c r="E9" i="2"/>
  <c r="E14" i="2"/>
  <c r="E15" i="2"/>
  <c r="C9" i="2"/>
  <c r="C14" i="2"/>
  <c r="C15" i="2"/>
  <c r="B24" i="2"/>
  <c r="B23" i="2"/>
  <c r="B22" i="2"/>
  <c r="B18" i="2"/>
  <c r="B17" i="2"/>
  <c r="B16" i="2"/>
  <c r="D12" i="2"/>
  <c r="B13" i="2"/>
  <c r="B12" i="2"/>
  <c r="B11" i="2"/>
  <c r="B10" i="2"/>
  <c r="B9" i="2"/>
  <c r="B8" i="2"/>
  <c r="N16" i="1"/>
  <c r="N17" i="1"/>
  <c r="E17" i="2"/>
  <c r="E16" i="2"/>
  <c r="E12" i="2"/>
  <c r="E8" i="2"/>
  <c r="E10" i="2"/>
  <c r="D17" i="2"/>
  <c r="D16" i="2"/>
  <c r="D8" i="2"/>
  <c r="D10" i="2"/>
  <c r="C10" i="2"/>
  <c r="C8" i="2"/>
  <c r="Z29" i="1"/>
  <c r="N25" i="1"/>
  <c r="N24" i="1"/>
  <c r="N23" i="1"/>
  <c r="N22" i="1"/>
  <c r="N21" i="1"/>
  <c r="N20" i="1"/>
  <c r="N19" i="1"/>
  <c r="N18" i="1"/>
  <c r="Y15" i="1"/>
  <c r="U25" i="1"/>
  <c r="U21" i="1"/>
  <c r="U22" i="1"/>
  <c r="U24" i="1"/>
  <c r="L23" i="1" l="1"/>
  <c r="L19" i="1"/>
  <c r="P19" i="1" s="1"/>
  <c r="L22" i="1"/>
  <c r="P22" i="1" s="1"/>
  <c r="L20" i="1"/>
  <c r="P20" i="1" s="1"/>
  <c r="R20" i="1"/>
  <c r="T20" i="1" s="1"/>
  <c r="R22" i="1"/>
  <c r="Y20" i="1"/>
  <c r="R23" i="1"/>
  <c r="P23" i="1"/>
  <c r="L17" i="1"/>
  <c r="L25" i="1"/>
  <c r="L16" i="1"/>
  <c r="L18" i="1"/>
  <c r="L24" i="1"/>
  <c r="L21" i="1"/>
  <c r="W20" i="1" l="1"/>
  <c r="R19" i="1"/>
  <c r="Y22" i="1"/>
  <c r="T22" i="1"/>
  <c r="R21" i="1"/>
  <c r="P21" i="1"/>
  <c r="X22" i="1"/>
  <c r="Y23" i="1"/>
  <c r="T23" i="1"/>
  <c r="W23" i="1"/>
  <c r="P24" i="1"/>
  <c r="R24" i="1"/>
  <c r="R18" i="1"/>
  <c r="P18" i="1"/>
  <c r="P16" i="1"/>
  <c r="R16" i="1" s="1"/>
  <c r="R25" i="1"/>
  <c r="P25" i="1"/>
  <c r="U20" i="1"/>
  <c r="X20" i="1" s="1"/>
  <c r="P17" i="1"/>
  <c r="R17" i="1"/>
  <c r="T19" i="1" l="1"/>
  <c r="W19" i="1"/>
  <c r="W24" i="1"/>
  <c r="T24" i="1"/>
  <c r="Y24" i="1"/>
  <c r="T17" i="1"/>
  <c r="U23" i="1"/>
  <c r="X23" i="1" s="1"/>
  <c r="T25" i="1"/>
  <c r="W25" i="1"/>
  <c r="Y25" i="1"/>
  <c r="R26" i="1"/>
  <c r="T16" i="1"/>
  <c r="U19" i="1"/>
  <c r="T18" i="1"/>
  <c r="T21" i="1"/>
  <c r="X19" i="1" l="1"/>
  <c r="X24" i="1"/>
  <c r="X16" i="1"/>
  <c r="X21" i="1"/>
  <c r="W26" i="1"/>
  <c r="L8" i="1" s="1"/>
  <c r="X17" i="1"/>
  <c r="Y28" i="1"/>
  <c r="L6" i="1" s="1"/>
  <c r="U18" i="1"/>
  <c r="X18" i="1" s="1"/>
  <c r="X25" i="1"/>
  <c r="X27" i="1" l="1"/>
  <c r="L5" i="1" s="1"/>
  <c r="L10" i="1" s="1"/>
  <c r="U2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<sst xmlns="http://schemas.openxmlformats.org/spreadsheetml/2006/main" count="119" uniqueCount="90">
  <si>
    <t>TMA LIVE PERFORMANCE WORKSHEET - General Scale</t>
  </si>
  <si>
    <t>Must be completed and filed with dually signed contract. Send all documents and paperwork to contracts@tma149.ca</t>
  </si>
  <si>
    <t>September 2, 2025 through September 7, 2026</t>
  </si>
  <si>
    <t xml:space="preserve">All musicians listed on the contract must be members in good standing with the AFM. Please reach out to Membership at info@tma149.ca to confirm the membership status of your engaged musicians. </t>
  </si>
  <si>
    <t>Contract #:</t>
  </si>
  <si>
    <t>Summary of Payments</t>
  </si>
  <si>
    <t>Engager:</t>
  </si>
  <si>
    <t>Date(s):</t>
  </si>
  <si>
    <t xml:space="preserve">1. To Leader </t>
  </si>
  <si>
    <t>Leader:</t>
  </si>
  <si>
    <t>Hours:</t>
  </si>
  <si>
    <r>
      <t xml:space="preserve">2. To </t>
    </r>
    <r>
      <rPr>
        <b/>
        <i/>
        <sz val="10"/>
        <color theme="0"/>
        <rFont val="Poppins"/>
      </rPr>
      <t>Musicians Pension Fund of Canada equal to:</t>
    </r>
  </si>
  <si>
    <t>Performance Name:</t>
  </si>
  <si>
    <t>Engagement Type:</t>
  </si>
  <si>
    <t>General Scale</t>
  </si>
  <si>
    <t>3. To Toronto Musicians’ Association equal to:</t>
  </si>
  <si>
    <r>
      <rPr>
        <b/>
        <sz val="10"/>
        <color rgb="FFFFFFFF"/>
        <rFont val="Poppins"/>
      </rPr>
      <t xml:space="preserve">Venue Capacity </t>
    </r>
    <r>
      <rPr>
        <b/>
        <sz val="8"/>
        <color rgb="FFFFFFFF"/>
        <rFont val="Poppins"/>
      </rPr>
      <t>(Select ):</t>
    </r>
  </si>
  <si>
    <t>Up to 1000</t>
  </si>
  <si>
    <t>Base Rate:</t>
  </si>
  <si>
    <t>Total Fees Agreed Upon =</t>
  </si>
  <si>
    <r>
      <t xml:space="preserve">Pension Rate </t>
    </r>
    <r>
      <rPr>
        <b/>
        <sz val="8"/>
        <color theme="0"/>
        <rFont val="Poppins"/>
      </rPr>
      <t>(Select ):</t>
    </r>
  </si>
  <si>
    <r>
      <t xml:space="preserve">First Name        </t>
    </r>
    <r>
      <rPr>
        <b/>
        <i/>
        <sz val="10"/>
        <color theme="0"/>
        <rFont val="Poppins"/>
      </rPr>
      <t xml:space="preserve">        (required)</t>
    </r>
  </si>
  <si>
    <r>
      <t xml:space="preserve">Last Name        </t>
    </r>
    <r>
      <rPr>
        <b/>
        <i/>
        <sz val="10"/>
        <color theme="0"/>
        <rFont val="Poppins"/>
      </rPr>
      <t xml:space="preserve">        (required)</t>
    </r>
  </si>
  <si>
    <t>HST                                                       (select yes OR no from drop down)</t>
  </si>
  <si>
    <r>
      <t xml:space="preserve">Musician Type                         </t>
    </r>
    <r>
      <rPr>
        <b/>
        <i/>
        <sz val="10"/>
        <color rgb="FFFFFFFF"/>
        <rFont val="Poppins"/>
      </rPr>
      <t xml:space="preserve">                        (select role from drop down)</t>
    </r>
  </si>
  <si>
    <t>Scale %</t>
  </si>
  <si>
    <t>1st Double</t>
  </si>
  <si>
    <t>2nd Double</t>
  </si>
  <si>
    <t>3rd Double</t>
  </si>
  <si>
    <t>Total Scale% with double(s)</t>
  </si>
  <si>
    <t>2025-2026 Concert Rate (Per Hour)</t>
  </si>
  <si>
    <t>Concert       (# of hours)</t>
  </si>
  <si>
    <t>2025-2026 Rehearsal Rate           (Per Hour)</t>
  </si>
  <si>
    <t>Rehearsal       (# of hours)</t>
  </si>
  <si>
    <t xml:space="preserve">Overtime Rate per 15 min. unit  (if applicable) </t>
  </si>
  <si>
    <t>Overtime        (Enter # of 15 min units)</t>
  </si>
  <si>
    <t>TOTAL SCALE WAGES</t>
  </si>
  <si>
    <t>Additional Musician Fees (if applicable)</t>
  </si>
  <si>
    <t xml:space="preserve">Subtotal plus </t>
  </si>
  <si>
    <r>
      <t xml:space="preserve">HST Amount      </t>
    </r>
    <r>
      <rPr>
        <b/>
        <i/>
        <sz val="10"/>
        <color theme="0"/>
        <rFont val="Poppins"/>
      </rPr>
      <t>(if applicable)</t>
    </r>
  </si>
  <si>
    <r>
      <t xml:space="preserve">Expenses                               </t>
    </r>
    <r>
      <rPr>
        <b/>
        <sz val="9"/>
        <color theme="0"/>
        <rFont val="Poppins"/>
      </rPr>
      <t xml:space="preserve">(Per Diem, Cartage, Travel)    </t>
    </r>
    <r>
      <rPr>
        <b/>
        <sz val="10"/>
        <color theme="0"/>
        <rFont val="Poppins"/>
      </rPr>
      <t xml:space="preserve">                                   </t>
    </r>
    <r>
      <rPr>
        <b/>
        <i/>
        <sz val="9"/>
        <color theme="0"/>
        <rFont val="Poppins"/>
      </rPr>
      <t>(if applicable)</t>
    </r>
  </si>
  <si>
    <t>Work Dues</t>
  </si>
  <si>
    <t>TOTAL PAYOUT PER MUSICIAN</t>
  </si>
  <si>
    <t>Pension</t>
  </si>
  <si>
    <r>
      <t xml:space="preserve">Work Permit      </t>
    </r>
    <r>
      <rPr>
        <b/>
        <i/>
        <sz val="10"/>
        <color theme="0"/>
        <rFont val="Poppins"/>
      </rPr>
      <t>(if applicable)</t>
    </r>
  </si>
  <si>
    <t>(will calculate HST)</t>
  </si>
  <si>
    <t>(Scale Wages + Additional Fees)</t>
  </si>
  <si>
    <t>(will not calculate HST)</t>
  </si>
  <si>
    <t>yes</t>
  </si>
  <si>
    <t>Leader</t>
  </si>
  <si>
    <t>no</t>
  </si>
  <si>
    <t>Steward</t>
  </si>
  <si>
    <t>Side Musician</t>
  </si>
  <si>
    <t xml:space="preserve">Total Scale Wages= </t>
  </si>
  <si>
    <t xml:space="preserve">Total HST= </t>
  </si>
  <si>
    <t>Total Work Dues =</t>
  </si>
  <si>
    <t>Total Musician Payout =</t>
  </si>
  <si>
    <t>Total Pension =</t>
  </si>
  <si>
    <t>Total Work Permit(s)=</t>
  </si>
  <si>
    <t>NOTES:</t>
  </si>
  <si>
    <t>A Steward is required if there are 3 or more musicians.</t>
  </si>
  <si>
    <t>A Contractor is required if there are 13 or more musicians.</t>
  </si>
  <si>
    <t>The minimum pension is 8% but can be negotiated up to 18% at the discretion of the Leader</t>
  </si>
  <si>
    <t>Rehearsals</t>
  </si>
  <si>
    <t>Performances</t>
  </si>
  <si>
    <t>Venue Capacity</t>
  </si>
  <si>
    <t>up to 1000</t>
  </si>
  <si>
    <t>1001-3500</t>
  </si>
  <si>
    <t>3501 or greater</t>
  </si>
  <si>
    <t>Scale Rate</t>
  </si>
  <si>
    <t>Leader (non-playing)</t>
  </si>
  <si>
    <t>Single Musician</t>
  </si>
  <si>
    <t>Contractor (also performing musician)</t>
  </si>
  <si>
    <t>Contractor (non-playing)</t>
  </si>
  <si>
    <t>Harp or Concertmaster</t>
  </si>
  <si>
    <t>Solo Harp</t>
  </si>
  <si>
    <t>Principal Musician</t>
  </si>
  <si>
    <t>Librarian (also performing musician)</t>
  </si>
  <si>
    <t>Librarian (non-playing)</t>
  </si>
  <si>
    <t>Leader &amp; Contractor</t>
  </si>
  <si>
    <t>Accompanist (professional)</t>
  </si>
  <si>
    <t>n/a</t>
  </si>
  <si>
    <t>Accompanist (non-professional)</t>
  </si>
  <si>
    <t>1st</t>
  </si>
  <si>
    <t>2nd</t>
  </si>
  <si>
    <t>3rd &amp; up</t>
  </si>
  <si>
    <t>PERFORMANCE INFORMATION</t>
  </si>
  <si>
    <t>REHEARSAL INFORMATION</t>
  </si>
  <si>
    <r>
      <t xml:space="preserve">Accompanist - The non-professional rate shall apply to all rehearsals associated with productions or
performances that are amateur or educational in nature. (For clarity, if an AFM member who
 is also a student engages an accompanist for a student recital, the non-professional rate
shall apply.) Otherwise, the professional rate shall apply. </t>
    </r>
    <r>
      <rPr>
        <i/>
        <u/>
        <sz val="11"/>
        <color theme="1"/>
        <rFont val="Poppins"/>
      </rPr>
      <t>*Fill in hours under Rehearsal (column P)</t>
    </r>
  </si>
  <si>
    <r>
      <t xml:space="preserve">AFM ID or SIN          </t>
    </r>
    <r>
      <rPr>
        <b/>
        <i/>
        <sz val="10"/>
        <color theme="0"/>
        <rFont val="Poppins"/>
      </rPr>
      <t>(Required)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</si>
</sst>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[$-F800]dddd\,\ mmmm\ dd\,\ yyyy"/>
    <numFmt numFmtId="166" formatCode="[$-F400]h:mm:ss\ AM/PM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595959"/>
      <name val="Cambria"/>
      <family val="1"/>
    </font>
    <font>
      <sz val="10.5"/>
      <color rgb="FF59595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21"/>
      <color theme="1"/>
      <name val="Platypi"/>
    </font>
    <font>
      <sz val="21"/>
      <color theme="1"/>
      <name val="Platypi"/>
    </font>
    <font>
      <sz val="10"/>
      <color theme="1"/>
      <name val="Poppins"/>
    </font>
    <font>
      <b/>
      <sz val="10"/>
      <color theme="0"/>
      <name val="Poppins"/>
    </font>
    <font>
      <b/>
      <i/>
      <sz val="10"/>
      <color theme="0"/>
      <name val="Poppins"/>
    </font>
    <font>
      <sz val="10"/>
      <color theme="0"/>
      <name val="Poppins"/>
    </font>
    <font>
      <b/>
      <sz val="10"/>
      <color theme="1"/>
      <name val="Poppins"/>
    </font>
    <font>
      <b/>
      <sz val="10"/>
      <name val="Poppins"/>
    </font>
    <font>
      <i/>
      <sz val="12"/>
      <color theme="1"/>
      <name val="Poppins Medium"/>
    </font>
    <font>
      <sz val="12"/>
      <color theme="1"/>
      <name val="Poppins Medium"/>
    </font>
    <font>
      <b/>
      <sz val="10"/>
      <color rgb="FFFFFFFF"/>
      <name val="Poppins"/>
    </font>
    <font>
      <b/>
      <i/>
      <sz val="10"/>
      <color rgb="FFFFFFFF"/>
      <name val="Poppins"/>
    </font>
    <font>
      <b/>
      <sz val="8"/>
      <color theme="0"/>
      <name val="Poppins"/>
    </font>
    <font>
      <b/>
      <sz val="9"/>
      <color theme="0"/>
      <name val="Poppins"/>
    </font>
    <font>
      <b/>
      <i/>
      <sz val="9"/>
      <color theme="0"/>
      <name val="Poppins"/>
    </font>
    <font>
      <b/>
      <sz val="8"/>
      <color rgb="FFFFFFFF"/>
      <name val="Poppins"/>
    </font>
    <font>
      <b/>
      <sz val="16"/>
      <color theme="1"/>
      <name val="Platypi"/>
    </font>
    <font>
      <b/>
      <sz val="16"/>
      <color theme="1"/>
      <name val="Poppins"/>
    </font>
    <font>
      <sz val="10"/>
      <color rgb="FF000000"/>
      <name val="Poppins"/>
    </font>
    <font>
      <sz val="12"/>
      <color rgb="FF181818"/>
      <name val="Calibri"/>
      <family val="2"/>
    </font>
    <font>
      <sz val="8"/>
      <color rgb="FF000000"/>
      <name val="Poppins"/>
    </font>
    <font>
      <sz val="10"/>
      <color rgb="FF380861"/>
      <name val="Poppins"/>
    </font>
    <font>
      <i/>
      <sz val="11"/>
      <color theme="1"/>
      <name val="Poppins"/>
    </font>
    <font>
      <i/>
      <sz val="12"/>
      <color theme="1"/>
      <name val="Poppins"/>
    </font>
    <font>
      <i/>
      <sz val="12"/>
      <color rgb="FF000000"/>
      <name val="Poppins"/>
    </font>
    <font>
      <i/>
      <u/>
      <sz val="11"/>
      <color theme="1"/>
      <name val="Poppins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80861"/>
        <bgColor indexed="64"/>
      </patternFill>
    </fill>
    <fill>
      <patternFill patternType="solid">
        <fgColor rgb="FF8E268C"/>
        <bgColor indexed="64"/>
      </patternFill>
    </fill>
    <fill>
      <patternFill patternType="solid">
        <fgColor rgb="FF3D38BC"/>
        <bgColor indexed="64"/>
      </patternFill>
    </fill>
    <fill>
      <patternFill patternType="solid">
        <fgColor rgb="FF8CC1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0" fillId="0" borderId="0" xfId="0" applyAlignment="1">
      <alignment horizontal="center"/>
    </xf>
    <xf numFmtId="8" fontId="2" fillId="0" borderId="1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8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8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right" vertical="center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4" fillId="0" borderId="0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3" borderId="2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5" borderId="17" xfId="1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6" borderId="17" xfId="1" applyNumberFormat="1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wrapText="1"/>
    </xf>
    <xf numFmtId="9" fontId="13" fillId="4" borderId="19" xfId="0" applyNumberFormat="1" applyFont="1" applyFill="1" applyBorder="1" applyAlignment="1">
      <alignment horizontal="center" vertical="center" wrapText="1"/>
    </xf>
    <xf numFmtId="9" fontId="13" fillId="5" borderId="19" xfId="1" applyNumberFormat="1" applyFont="1" applyFill="1" applyBorder="1" applyAlignment="1" applyProtection="1">
      <alignment horizontal="center" vertical="center" wrapText="1"/>
      <protection locked="0"/>
    </xf>
    <xf numFmtId="9" fontId="13" fillId="6" borderId="19" xfId="2" applyFont="1" applyFill="1" applyBorder="1" applyAlignment="1" applyProtection="1">
      <alignment horizontal="center" vertical="center"/>
    </xf>
    <xf numFmtId="8" fontId="13" fillId="3" borderId="19" xfId="0" applyNumberFormat="1" applyFont="1" applyFill="1" applyBorder="1" applyAlignment="1">
      <alignment horizontal="center" vertical="center" wrapText="1"/>
    </xf>
    <xf numFmtId="0" fontId="13" fillId="3" borderId="51" xfId="0" applyFont="1" applyFill="1" applyBorder="1"/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9" fontId="10" fillId="0" borderId="10" xfId="0" applyNumberFormat="1" applyFont="1" applyBorder="1" applyAlignment="1">
      <alignment horizontal="center"/>
    </xf>
    <xf numFmtId="8" fontId="10" fillId="0" borderId="10" xfId="0" applyNumberFormat="1" applyFont="1" applyBorder="1" applyAlignment="1">
      <alignment horizontal="center"/>
    </xf>
    <xf numFmtId="8" fontId="10" fillId="0" borderId="10" xfId="0" applyNumberFormat="1" applyFont="1" applyBorder="1"/>
    <xf numFmtId="44" fontId="10" fillId="0" borderId="10" xfId="1" applyFont="1" applyFill="1" applyBorder="1"/>
    <xf numFmtId="0" fontId="13" fillId="3" borderId="46" xfId="0" applyFont="1" applyFill="1" applyBorder="1"/>
    <xf numFmtId="0" fontId="13" fillId="3" borderId="52" xfId="0" applyFont="1" applyFill="1" applyBorder="1"/>
    <xf numFmtId="8" fontId="14" fillId="0" borderId="0" xfId="0" applyNumberFormat="1" applyFont="1"/>
    <xf numFmtId="0" fontId="14" fillId="7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/>
    <xf numFmtId="0" fontId="12" fillId="3" borderId="32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4" borderId="20" xfId="0" applyFont="1" applyFill="1" applyBorder="1" applyAlignment="1">
      <alignment horizontal="right"/>
    </xf>
    <xf numFmtId="8" fontId="11" fillId="4" borderId="6" xfId="0" applyNumberFormat="1" applyFont="1" applyFill="1" applyBorder="1"/>
    <xf numFmtId="0" fontId="11" fillId="4" borderId="5" xfId="0" applyFont="1" applyFill="1" applyBorder="1" applyAlignment="1">
      <alignment horizontal="right"/>
    </xf>
    <xf numFmtId="8" fontId="11" fillId="4" borderId="14" xfId="0" applyNumberFormat="1" applyFont="1" applyFill="1" applyBorder="1"/>
    <xf numFmtId="0" fontId="11" fillId="4" borderId="15" xfId="0" applyFont="1" applyFill="1" applyBorder="1" applyAlignment="1">
      <alignment horizontal="right"/>
    </xf>
    <xf numFmtId="8" fontId="11" fillId="4" borderId="3" xfId="0" applyNumberFormat="1" applyFont="1" applyFill="1" applyBorder="1"/>
    <xf numFmtId="0" fontId="11" fillId="6" borderId="2" xfId="0" applyFont="1" applyFill="1" applyBorder="1" applyAlignment="1">
      <alignment horizontal="right"/>
    </xf>
    <xf numFmtId="8" fontId="11" fillId="6" borderId="3" xfId="0" applyNumberFormat="1" applyFont="1" applyFill="1" applyBorder="1"/>
    <xf numFmtId="0" fontId="14" fillId="2" borderId="7" xfId="0" applyFont="1" applyFill="1" applyBorder="1" applyAlignment="1">
      <alignment horizontal="right"/>
    </xf>
    <xf numFmtId="0" fontId="10" fillId="2" borderId="11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right"/>
    </xf>
    <xf numFmtId="0" fontId="10" fillId="2" borderId="12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right"/>
    </xf>
    <xf numFmtId="0" fontId="11" fillId="4" borderId="12" xfId="0" applyFont="1" applyFill="1" applyBorder="1" applyAlignment="1">
      <alignment horizontal="center"/>
    </xf>
    <xf numFmtId="9" fontId="11" fillId="3" borderId="13" xfId="0" applyNumberFormat="1" applyFont="1" applyFill="1" applyBorder="1" applyAlignment="1">
      <alignment horizontal="center"/>
    </xf>
    <xf numFmtId="0" fontId="14" fillId="0" borderId="32" xfId="0" applyFont="1" applyBorder="1" applyAlignment="1">
      <alignment horizontal="right" vertical="center"/>
    </xf>
    <xf numFmtId="165" fontId="10" fillId="0" borderId="12" xfId="0" applyNumberFormat="1" applyFont="1" applyBorder="1" applyAlignment="1">
      <alignment horizontal="center" vertical="center"/>
    </xf>
    <xf numFmtId="166" fontId="10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24" xfId="0" applyNumberFormat="1" applyFont="1" applyBorder="1" applyAlignment="1" applyProtection="1">
      <alignment horizontal="center" vertical="center"/>
      <protection locked="0"/>
    </xf>
    <xf numFmtId="8" fontId="11" fillId="4" borderId="41" xfId="1" applyNumberFormat="1" applyFont="1" applyFill="1" applyBorder="1" applyAlignment="1"/>
    <xf numFmtId="44" fontId="14" fillId="0" borderId="37" xfId="1" applyFont="1" applyBorder="1" applyAlignment="1">
      <alignment horizontal="center"/>
    </xf>
    <xf numFmtId="0" fontId="11" fillId="3" borderId="9" xfId="0" applyFont="1" applyFill="1" applyBorder="1" applyAlignment="1">
      <alignment horizontal="right" wrapText="1"/>
    </xf>
    <xf numFmtId="164" fontId="11" fillId="4" borderId="24" xfId="1" applyNumberFormat="1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right"/>
    </xf>
    <xf numFmtId="0" fontId="11" fillId="5" borderId="15" xfId="0" applyFont="1" applyFill="1" applyBorder="1" applyAlignment="1">
      <alignment horizontal="right"/>
    </xf>
    <xf numFmtId="44" fontId="11" fillId="5" borderId="16" xfId="0" applyNumberFormat="1" applyFont="1" applyFill="1" applyBorder="1"/>
    <xf numFmtId="0" fontId="11" fillId="5" borderId="0" xfId="0" applyFont="1" applyFill="1" applyAlignment="1">
      <alignment horizontal="right"/>
    </xf>
    <xf numFmtId="8" fontId="11" fillId="5" borderId="4" xfId="0" applyNumberFormat="1" applyFont="1" applyFill="1" applyBorder="1"/>
    <xf numFmtId="0" fontId="13" fillId="0" borderId="0" xfId="0" applyFont="1" applyAlignment="1">
      <alignment horizontal="center"/>
    </xf>
    <xf numFmtId="10" fontId="2" fillId="0" borderId="18" xfId="0" applyNumberFormat="1" applyFont="1" applyBorder="1" applyAlignment="1">
      <alignment horizontal="center" vertical="center" wrapText="1"/>
    </xf>
    <xf numFmtId="8" fontId="10" fillId="0" borderId="23" xfId="0" applyNumberFormat="1" applyFont="1" applyBorder="1" applyAlignment="1">
      <alignment horizontal="center"/>
    </xf>
    <xf numFmtId="0" fontId="18" fillId="3" borderId="8" xfId="0" applyFont="1" applyFill="1" applyBorder="1" applyAlignment="1">
      <alignment horizontal="right" wrapText="1"/>
    </xf>
    <xf numFmtId="0" fontId="24" fillId="0" borderId="0" xfId="0" applyFont="1"/>
    <xf numFmtId="0" fontId="28" fillId="2" borderId="12" xfId="0" applyFont="1" applyFill="1" applyBorder="1" applyAlignment="1">
      <alignment horizontal="center"/>
    </xf>
    <xf numFmtId="0" fontId="26" fillId="0" borderId="10" xfId="0" applyFont="1" applyBorder="1"/>
    <xf numFmtId="0" fontId="27" fillId="2" borderId="10" xfId="0" applyFont="1" applyFill="1" applyBorder="1"/>
    <xf numFmtId="0" fontId="0" fillId="0" borderId="54" xfId="0" applyBorder="1"/>
    <xf numFmtId="0" fontId="10" fillId="0" borderId="23" xfId="0" applyFont="1" applyBorder="1"/>
    <xf numFmtId="0" fontId="26" fillId="0" borderId="0" xfId="0" applyFont="1"/>
    <xf numFmtId="0" fontId="0" fillId="0" borderId="55" xfId="0" applyBorder="1"/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11" fillId="5" borderId="29" xfId="0" applyFont="1" applyFill="1" applyBorder="1" applyAlignment="1">
      <alignment horizontal="center" vertical="center" wrapText="1"/>
    </xf>
    <xf numFmtId="0" fontId="11" fillId="5" borderId="49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7" fillId="8" borderId="14" xfId="0" applyFont="1" applyFill="1" applyBorder="1" applyAlignment="1">
      <alignment horizontal="left" vertical="top" wrapText="1"/>
    </xf>
    <xf numFmtId="0" fontId="17" fillId="8" borderId="15" xfId="0" applyFont="1" applyFill="1" applyBorder="1" applyAlignment="1">
      <alignment horizontal="left" vertical="top" wrapText="1"/>
    </xf>
    <xf numFmtId="0" fontId="17" fillId="8" borderId="16" xfId="0" applyFont="1" applyFill="1" applyBorder="1" applyAlignment="1">
      <alignment horizontal="left" vertical="top" wrapText="1"/>
    </xf>
    <xf numFmtId="0" fontId="10" fillId="2" borderId="46" xfId="0" applyFont="1" applyFill="1" applyBorder="1" applyAlignment="1" applyProtection="1">
      <alignment horizontal="left" vertical="center"/>
      <protection locked="0"/>
    </xf>
    <xf numFmtId="0" fontId="10" fillId="2" borderId="47" xfId="0" applyFont="1" applyFill="1" applyBorder="1" applyAlignment="1" applyProtection="1">
      <alignment horizontal="left" vertical="center"/>
      <protection locked="0"/>
    </xf>
    <xf numFmtId="0" fontId="10" fillId="2" borderId="48" xfId="0" applyFont="1" applyFill="1" applyBorder="1" applyAlignment="1" applyProtection="1">
      <alignment horizontal="left" vertical="center"/>
      <protection locked="0"/>
    </xf>
    <xf numFmtId="8" fontId="11" fillId="6" borderId="12" xfId="1" applyNumberFormat="1" applyFont="1" applyFill="1" applyBorder="1" applyAlignment="1">
      <alignment horizontal="right"/>
    </xf>
    <xf numFmtId="44" fontId="11" fillId="6" borderId="12" xfId="1" applyFont="1" applyFill="1" applyBorder="1" applyAlignment="1">
      <alignment horizontal="right"/>
    </xf>
    <xf numFmtId="0" fontId="14" fillId="0" borderId="44" xfId="0" applyFont="1" applyBorder="1" applyAlignment="1">
      <alignment horizontal="left"/>
    </xf>
    <xf numFmtId="0" fontId="14" fillId="0" borderId="45" xfId="0" applyFont="1" applyBorder="1" applyAlignment="1">
      <alignment horizontal="left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8" fontId="11" fillId="5" borderId="24" xfId="1" applyNumberFormat="1" applyFont="1" applyFill="1" applyBorder="1" applyAlignment="1">
      <alignment horizontal="right"/>
    </xf>
    <xf numFmtId="44" fontId="11" fillId="5" borderId="39" xfId="1" applyFont="1" applyFill="1" applyBorder="1" applyAlignment="1">
      <alignment horizontal="right"/>
    </xf>
    <xf numFmtId="0" fontId="11" fillId="4" borderId="40" xfId="0" applyFont="1" applyFill="1" applyBorder="1" applyAlignment="1">
      <alignment horizontal="left"/>
    </xf>
    <xf numFmtId="0" fontId="11" fillId="4" borderId="23" xfId="0" applyFont="1" applyFill="1" applyBorder="1" applyAlignment="1">
      <alignment horizontal="left"/>
    </xf>
    <xf numFmtId="0" fontId="11" fillId="6" borderId="30" xfId="0" applyFont="1" applyFill="1" applyBorder="1" applyAlignment="1">
      <alignment horizontal="left" vertical="top" wrapText="1"/>
    </xf>
    <xf numFmtId="0" fontId="11" fillId="6" borderId="10" xfId="0" applyFont="1" applyFill="1" applyBorder="1" applyAlignment="1">
      <alignment horizontal="left" vertical="top" wrapText="1"/>
    </xf>
    <xf numFmtId="0" fontId="11" fillId="5" borderId="42" xfId="0" applyFont="1" applyFill="1" applyBorder="1" applyAlignment="1">
      <alignment horizontal="left" vertical="top" wrapText="1"/>
    </xf>
    <xf numFmtId="0" fontId="11" fillId="5" borderId="36" xfId="0" applyFont="1" applyFill="1" applyBorder="1" applyAlignment="1">
      <alignment horizontal="left" vertical="top" wrapText="1"/>
    </xf>
    <xf numFmtId="0" fontId="11" fillId="5" borderId="28" xfId="0" applyFont="1" applyFill="1" applyBorder="1" applyAlignment="1">
      <alignment horizontal="left" vertical="top" wrapText="1"/>
    </xf>
    <xf numFmtId="0" fontId="11" fillId="5" borderId="32" xfId="0" applyFont="1" applyFill="1" applyBorder="1" applyAlignment="1">
      <alignment horizontal="left" vertical="top" wrapText="1"/>
    </xf>
    <xf numFmtId="0" fontId="11" fillId="5" borderId="0" xfId="0" applyFont="1" applyFill="1" applyAlignment="1">
      <alignment horizontal="left" vertical="top" wrapText="1"/>
    </xf>
    <xf numFmtId="0" fontId="11" fillId="5" borderId="43" xfId="0" applyFont="1" applyFill="1" applyBorder="1" applyAlignment="1">
      <alignment horizontal="left" vertical="top" wrapText="1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2" borderId="20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0" fillId="2" borderId="32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4" xfId="0" applyFont="1" applyFill="1" applyBorder="1" applyAlignment="1" applyProtection="1">
      <alignment horizontal="left" vertical="center"/>
      <protection locked="0"/>
    </xf>
    <xf numFmtId="0" fontId="11" fillId="3" borderId="38" xfId="0" applyFont="1" applyFill="1" applyBorder="1" applyAlignment="1">
      <alignment horizontal="center" vertical="center" wrapText="1"/>
    </xf>
    <xf numFmtId="0" fontId="11" fillId="3" borderId="50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center" wrapText="1"/>
    </xf>
    <xf numFmtId="0" fontId="16" fillId="8" borderId="14" xfId="0" applyFont="1" applyFill="1" applyBorder="1" applyAlignment="1">
      <alignment horizontal="left" vertical="center"/>
    </xf>
    <xf numFmtId="0" fontId="16" fillId="8" borderId="15" xfId="0" applyFont="1" applyFill="1" applyBorder="1" applyAlignment="1">
      <alignment horizontal="left" vertical="center"/>
    </xf>
    <xf numFmtId="0" fontId="16" fillId="8" borderId="16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vertical="center"/>
    </xf>
    <xf numFmtId="0" fontId="29" fillId="3" borderId="32" xfId="0" applyFont="1" applyFill="1" applyBorder="1" applyAlignment="1">
      <alignment horizontal="right" vertical="center"/>
    </xf>
    <xf numFmtId="0" fontId="29" fillId="3" borderId="12" xfId="0" applyFont="1" applyFill="1" applyBorder="1" applyAlignment="1" applyProtection="1">
      <alignment horizontal="center" vertical="center"/>
      <protection locked="0"/>
    </xf>
    <xf numFmtId="0" fontId="11" fillId="4" borderId="32" xfId="0" applyFont="1" applyFill="1" applyBorder="1" applyAlignment="1">
      <alignment horizontal="left" vertical="center"/>
    </xf>
    <xf numFmtId="0" fontId="13" fillId="4" borderId="4" xfId="1" applyNumberFormat="1" applyFont="1" applyFill="1" applyBorder="1" applyAlignment="1">
      <alignment vertical="center"/>
    </xf>
    <xf numFmtId="0" fontId="10" fillId="3" borderId="5" xfId="0" applyFont="1" applyFill="1" applyBorder="1" applyAlignment="1">
      <alignment horizontal="right" vertical="center"/>
    </xf>
    <xf numFmtId="49" fontId="10" fillId="3" borderId="13" xfId="0" applyNumberFormat="1" applyFont="1" applyFill="1" applyBorder="1" applyAlignment="1" applyProtection="1">
      <alignment horizontal="center" vertical="center"/>
      <protection locked="0"/>
    </xf>
    <xf numFmtId="0" fontId="10" fillId="0" borderId="57" xfId="0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31" fillId="0" borderId="0" xfId="0" applyFont="1" applyAlignment="1">
      <alignment vertical="center"/>
    </xf>
    <xf numFmtId="0" fontId="32" fillId="0" borderId="0" xfId="0" applyFont="1"/>
    <xf numFmtId="0" fontId="30" fillId="0" borderId="0" xfId="0" applyFont="1" applyAlignment="1"/>
    <xf numFmtId="0" fontId="14" fillId="0" borderId="31" xfId="0" applyFont="1" applyBorder="1" applyAlignment="1">
      <alignment horizontal="right" vertical="center"/>
    </xf>
    <xf numFmtId="0" fontId="14" fillId="0" borderId="42" xfId="0" applyFont="1" applyBorder="1" applyAlignment="1">
      <alignment horizontal="righ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3D38BC"/>
      <color rgb="FF380861"/>
      <color rgb="FF8E268C"/>
      <color rgb="FFFFFF66"/>
      <color rgb="FF8CC100"/>
      <color rgb="FFFFFFFF"/>
      <color rgb="FFEA297A"/>
      <color rgb="FFC992F6"/>
      <color rgb="FF7010C0"/>
      <color rgb="FFC4E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</xdr:row>
      <xdr:rowOff>131762</xdr:rowOff>
    </xdr:from>
    <xdr:to>
      <xdr:col>1</xdr:col>
      <xdr:colOff>1265236</xdr:colOff>
      <xdr:row>9</xdr:row>
      <xdr:rowOff>47623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5601C6-7826-B11B-BE6C-02695AD22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747713"/>
          <a:ext cx="1566862" cy="1570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60B3-F702-4612-9E04-A5FF7FC61F7D}">
  <sheetPr>
    <pageSetUpPr fitToPage="1"/>
  </sheetPr>
  <dimension ref="A1:Z44"/>
  <sheetViews>
    <sheetView tabSelected="1" zoomScale="55" zoomScaleNormal="55" workbookViewId="0">
      <selection activeCell="E4" sqref="E4:F11"/>
    </sheetView>
  </sheetViews>
  <sheetFormatPr defaultRowHeight="14.25" x14ac:dyDescent="0.45"/>
  <cols>
    <col min="1" max="1" width="4.86328125" customWidth="1"/>
    <col min="2" max="2" width="19" customWidth="1"/>
    <col min="3" max="3" width="23.265625" customWidth="1"/>
    <col min="4" max="4" width="22" style="1" customWidth="1"/>
    <col min="5" max="5" width="12.3984375" style="1" customWidth="1"/>
    <col min="6" max="6" width="37" style="1" customWidth="1"/>
    <col min="7" max="7" width="8.59765625" style="1" customWidth="1"/>
    <col min="8" max="10" width="7.59765625" style="1" customWidth="1"/>
    <col min="11" max="11" width="12.265625" style="1" customWidth="1"/>
    <col min="12" max="12" width="13.59765625" style="1" customWidth="1"/>
    <col min="13" max="13" width="12.265625" style="1" customWidth="1"/>
    <col min="14" max="14" width="11.265625" style="1" customWidth="1"/>
    <col min="15" max="15" width="12.265625" style="1" customWidth="1"/>
    <col min="16" max="16" width="15" style="1" customWidth="1"/>
    <col min="17" max="17" width="14.1328125" style="1" customWidth="1"/>
    <col min="18" max="18" width="10.73046875" customWidth="1"/>
    <col min="19" max="19" width="19.265625" customWidth="1"/>
    <col min="20" max="20" width="17.265625" customWidth="1"/>
    <col min="21" max="21" width="15.73046875" customWidth="1"/>
    <col min="22" max="22" width="23.3984375" customWidth="1"/>
    <col min="24" max="24" width="15.265625" customWidth="1"/>
    <col min="25" max="25" width="10.265625" customWidth="1"/>
    <col min="26" max="26" width="15.1328125" customWidth="1"/>
  </cols>
  <sheetData>
    <row r="1" spans="1:26" ht="34.15" thickBot="1" x14ac:dyDescent="1.4">
      <c r="A1" s="20" t="s">
        <v>0</v>
      </c>
      <c r="B1" s="21"/>
      <c r="C1" s="21"/>
      <c r="D1" s="22"/>
      <c r="E1" s="22"/>
      <c r="G1" s="138" t="s">
        <v>1</v>
      </c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40"/>
    </row>
    <row r="2" spans="1:26" ht="44.1" customHeight="1" thickBot="1" x14ac:dyDescent="0.5">
      <c r="A2" s="94" t="s">
        <v>2</v>
      </c>
      <c r="B2" s="94"/>
      <c r="C2" s="94"/>
      <c r="D2" s="94"/>
      <c r="E2" s="94"/>
      <c r="F2" s="95"/>
      <c r="G2" s="100" t="s">
        <v>3</v>
      </c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2"/>
    </row>
    <row r="3" spans="1:26" ht="14.65" thickBot="1" x14ac:dyDescent="0.5"/>
    <row r="4" spans="1:26" ht="20.25" thickBot="1" x14ac:dyDescent="1.1499999999999999">
      <c r="C4" s="61" t="s">
        <v>4</v>
      </c>
      <c r="D4" s="62"/>
      <c r="E4" s="163" t="s">
        <v>86</v>
      </c>
      <c r="F4" s="164"/>
      <c r="G4" s="16"/>
      <c r="H4" s="110" t="s">
        <v>5</v>
      </c>
      <c r="I4" s="111"/>
      <c r="J4" s="111"/>
      <c r="K4" s="111"/>
      <c r="L4" s="112"/>
    </row>
    <row r="5" spans="1:26" ht="19.899999999999999" x14ac:dyDescent="1.1000000000000001">
      <c r="C5" s="63" t="s">
        <v>6</v>
      </c>
      <c r="D5" s="64"/>
      <c r="E5" s="68" t="s">
        <v>7</v>
      </c>
      <c r="F5" s="69"/>
      <c r="G5" s="17"/>
      <c r="H5" s="115" t="s">
        <v>8</v>
      </c>
      <c r="I5" s="116"/>
      <c r="J5" s="116"/>
      <c r="K5" s="116"/>
      <c r="L5" s="72">
        <f>X27-Z29</f>
        <v>0</v>
      </c>
    </row>
    <row r="6" spans="1:26" ht="15.75" customHeight="1" x14ac:dyDescent="1.1000000000000001">
      <c r="C6" s="63" t="s">
        <v>9</v>
      </c>
      <c r="D6" s="87"/>
      <c r="E6" s="176" t="s">
        <v>10</v>
      </c>
      <c r="F6" s="70"/>
      <c r="G6" s="18"/>
      <c r="H6" s="117" t="s">
        <v>11</v>
      </c>
      <c r="I6" s="118"/>
      <c r="J6" s="118"/>
      <c r="K6" s="118"/>
      <c r="L6" s="106">
        <f>Y28</f>
        <v>0</v>
      </c>
    </row>
    <row r="7" spans="1:26" ht="19.899999999999999" x14ac:dyDescent="1.1000000000000001">
      <c r="C7" s="63" t="s">
        <v>12</v>
      </c>
      <c r="D7" s="64"/>
      <c r="E7" s="165"/>
      <c r="F7" s="166"/>
      <c r="G7" s="18"/>
      <c r="H7" s="117"/>
      <c r="I7" s="118"/>
      <c r="J7" s="118"/>
      <c r="K7" s="118"/>
      <c r="L7" s="107"/>
    </row>
    <row r="8" spans="1:26" ht="19.899999999999999" x14ac:dyDescent="1.1000000000000001">
      <c r="C8" s="65" t="s">
        <v>13</v>
      </c>
      <c r="D8" s="66" t="s">
        <v>14</v>
      </c>
      <c r="E8" s="167" t="s">
        <v>87</v>
      </c>
      <c r="F8" s="168"/>
      <c r="G8" s="15"/>
      <c r="H8" s="119" t="s">
        <v>15</v>
      </c>
      <c r="I8" s="120"/>
      <c r="J8" s="120"/>
      <c r="K8" s="121"/>
      <c r="L8" s="113">
        <f>W26+Z29</f>
        <v>0</v>
      </c>
    </row>
    <row r="9" spans="1:26" ht="20.25" thickBot="1" x14ac:dyDescent="1.1499999999999999">
      <c r="C9" s="85" t="s">
        <v>16</v>
      </c>
      <c r="D9" s="76" t="s">
        <v>17</v>
      </c>
      <c r="E9" s="68" t="s">
        <v>7</v>
      </c>
      <c r="F9" s="71"/>
      <c r="G9" s="19"/>
      <c r="H9" s="122"/>
      <c r="I9" s="123"/>
      <c r="J9" s="123"/>
      <c r="K9" s="124"/>
      <c r="L9" s="114"/>
    </row>
    <row r="10" spans="1:26" ht="20.25" thickBot="1" x14ac:dyDescent="1.1499999999999999">
      <c r="C10" s="65" t="s">
        <v>18</v>
      </c>
      <c r="D10" s="75" cm="1">
        <f t="array" ref="D10">_xlfn.IFS(D9="up to 1000",'TMA Tariff Rate Chart'!C7, D9="1001-3500",'TMA Tariff Rate Chart'!D7, D9="3501 or greater",'TMA Tariff Rate Chart'!E7)</f>
        <v>71</v>
      </c>
      <c r="E10" s="177" t="s">
        <v>10</v>
      </c>
      <c r="F10" s="71"/>
      <c r="G10" s="19"/>
      <c r="H10" s="108" t="s">
        <v>19</v>
      </c>
      <c r="I10" s="109"/>
      <c r="J10" s="109"/>
      <c r="K10" s="109"/>
      <c r="L10" s="73">
        <f>SUM(L5:L9)</f>
        <v>0</v>
      </c>
    </row>
    <row r="11" spans="1:26" ht="24.4" customHeight="1" thickBot="1" x14ac:dyDescent="1.1499999999999999">
      <c r="C11" s="74" t="s">
        <v>20</v>
      </c>
      <c r="D11" s="67">
        <v>0.1</v>
      </c>
      <c r="E11" s="169"/>
      <c r="F11" s="170"/>
      <c r="G11" s="14"/>
    </row>
    <row r="12" spans="1:26" x14ac:dyDescent="0.45">
      <c r="G12" s="13"/>
      <c r="H12" s="14"/>
      <c r="I12" s="14"/>
      <c r="J12" s="14"/>
    </row>
    <row r="13" spans="1:26" ht="10.9" customHeight="1" thickBot="1" x14ac:dyDescent="0.5"/>
    <row r="14" spans="1:26" ht="74.25" x14ac:dyDescent="1.1000000000000001">
      <c r="A14" s="23"/>
      <c r="B14" s="141" t="s">
        <v>21</v>
      </c>
      <c r="C14" s="141" t="s">
        <v>22</v>
      </c>
      <c r="D14" s="143" t="s">
        <v>89</v>
      </c>
      <c r="E14" s="134" t="s">
        <v>23</v>
      </c>
      <c r="F14" s="145" t="s">
        <v>24</v>
      </c>
      <c r="G14" s="152" t="s">
        <v>25</v>
      </c>
      <c r="H14" s="150" t="s">
        <v>26</v>
      </c>
      <c r="I14" s="150" t="s">
        <v>27</v>
      </c>
      <c r="J14" s="150" t="s">
        <v>28</v>
      </c>
      <c r="K14" s="148" t="s">
        <v>29</v>
      </c>
      <c r="L14" s="154" t="s">
        <v>30</v>
      </c>
      <c r="M14" s="98" t="s">
        <v>31</v>
      </c>
      <c r="N14" s="96" t="s">
        <v>32</v>
      </c>
      <c r="O14" s="98" t="s">
        <v>33</v>
      </c>
      <c r="P14" s="96" t="s">
        <v>34</v>
      </c>
      <c r="Q14" s="98" t="s">
        <v>35</v>
      </c>
      <c r="R14" s="146" t="s">
        <v>36</v>
      </c>
      <c r="S14" s="24" t="s">
        <v>37</v>
      </c>
      <c r="T14" s="25" t="s">
        <v>38</v>
      </c>
      <c r="U14" s="28" t="s">
        <v>39</v>
      </c>
      <c r="V14" s="26" t="s">
        <v>40</v>
      </c>
      <c r="W14" s="27" t="s">
        <v>41</v>
      </c>
      <c r="X14" s="136" t="s">
        <v>42</v>
      </c>
      <c r="Y14" s="29" t="s">
        <v>43</v>
      </c>
      <c r="Z14" s="30" t="s">
        <v>44</v>
      </c>
    </row>
    <row r="15" spans="1:26" ht="40.15" thickBot="1" x14ac:dyDescent="1.1499999999999999">
      <c r="A15" s="23"/>
      <c r="B15" s="142"/>
      <c r="C15" s="142"/>
      <c r="D15" s="144"/>
      <c r="E15" s="135"/>
      <c r="F15" s="144"/>
      <c r="G15" s="153"/>
      <c r="H15" s="151"/>
      <c r="I15" s="151"/>
      <c r="J15" s="151"/>
      <c r="K15" s="149"/>
      <c r="L15" s="155"/>
      <c r="M15" s="99"/>
      <c r="N15" s="97"/>
      <c r="O15" s="99"/>
      <c r="P15" s="97"/>
      <c r="Q15" s="99"/>
      <c r="R15" s="147"/>
      <c r="S15" s="49" t="s">
        <v>45</v>
      </c>
      <c r="T15" s="50" t="s">
        <v>46</v>
      </c>
      <c r="U15" s="31">
        <v>0.13</v>
      </c>
      <c r="V15" s="51" t="s">
        <v>47</v>
      </c>
      <c r="W15" s="32">
        <v>0.03</v>
      </c>
      <c r="X15" s="137"/>
      <c r="Y15" s="33">
        <f>D11</f>
        <v>0.1</v>
      </c>
      <c r="Z15" s="34">
        <v>75</v>
      </c>
    </row>
    <row r="16" spans="1:26" ht="19.899999999999999" x14ac:dyDescent="1.1000000000000001">
      <c r="A16" s="35">
        <v>1</v>
      </c>
      <c r="B16" s="90"/>
      <c r="C16" s="90"/>
      <c r="D16" s="90"/>
      <c r="E16" s="171" t="s">
        <v>48</v>
      </c>
      <c r="F16" s="37" t="s">
        <v>49</v>
      </c>
      <c r="G16" s="38" cm="1">
        <f t="array" ref="G16">_xlfn.IFS(F16="Leader",200%, F16="Side Musician",100%, F16="Single Musician", 200%, F16="Solo Harp", 200%, F16="Leader (non-playing)", 100%, F16="Contractor (also performing musician)", 150%, F16="Steward", 110%, F16="Contractor (non-playing)", 50%, F16="Harp or Concertmaster", 150%, F16="Principal Musician", 125%, F16="Librarian (also performing musician)", 150%, F16="Librarian (non-playing)", 50%, F16="Leader &amp; Contractor", 250%,F16 = "Accompanist (professional)", 157.63%, F16 = "Accompanist (non-professional)", 100%)</f>
        <v>2</v>
      </c>
      <c r="H16" s="38"/>
      <c r="I16" s="38"/>
      <c r="J16" s="38"/>
      <c r="K16" s="38">
        <f>G16+H16+I16+J16</f>
        <v>2</v>
      </c>
      <c r="L16" s="39">
        <f>SUM(D10)</f>
        <v>71</v>
      </c>
      <c r="M16" s="37"/>
      <c r="N16" s="39">
        <f>'TMA Tariff Rate Chart'!B7</f>
        <v>61</v>
      </c>
      <c r="O16" s="37"/>
      <c r="P16" s="84">
        <f>(L16/4)*1.5</f>
        <v>26.625</v>
      </c>
      <c r="Q16" s="37"/>
      <c r="R16" s="40">
        <f>(L16*M16+N16*O16+P16*Q16)*K16</f>
        <v>0</v>
      </c>
      <c r="S16" s="40"/>
      <c r="T16" s="40">
        <f>R16+S16</f>
        <v>0</v>
      </c>
      <c r="U16" s="40">
        <f>IF((E16="yes"),ROUND((T16*0.13),2),0)</f>
        <v>0</v>
      </c>
      <c r="V16" s="40"/>
      <c r="W16" s="40">
        <f>R16*W15</f>
        <v>0</v>
      </c>
      <c r="X16" s="40">
        <f>T16+U16+V16-W16</f>
        <v>0</v>
      </c>
      <c r="Y16" s="40">
        <f>R16*Y15</f>
        <v>0</v>
      </c>
      <c r="Z16" s="41"/>
    </row>
    <row r="17" spans="1:26" ht="19.899999999999999" x14ac:dyDescent="1.1000000000000001">
      <c r="A17" s="42">
        <v>2</v>
      </c>
      <c r="B17" s="90"/>
      <c r="C17" s="90"/>
      <c r="D17" s="90"/>
      <c r="E17" s="171" t="s">
        <v>48</v>
      </c>
      <c r="F17" s="37" t="s">
        <v>52</v>
      </c>
      <c r="G17" s="38" cm="1">
        <f t="array" ref="G17">_xlfn.IFS(F17="Leader",200%, F17="Side Musician",100%, F17="Single Musician", 200%, F17="Solo Harp", 200%, F17="Leader (non-playing)", 100%, F17="Contractor (also performing musician)", 150%, F17="Steward", 110%, F17="Contractor (non-playing)", 50%, F17="Harp or Concertmaster", 150%, F17="Principal Musician", 125%, F17="Librarian (also performing musician)", 150%, F17="Librarian (non-playing)", 50%, F17="Leader &amp; Contractor", 250%,F17 = "Accompanist (professional)", 157.63%, F17 = "Accompanist (non-professional)", 100%)</f>
        <v>1</v>
      </c>
      <c r="H17" s="38"/>
      <c r="I17" s="38"/>
      <c r="J17" s="38"/>
      <c r="K17" s="38">
        <f t="shared" ref="K17:K25" si="0">G17+H17+I17+J17</f>
        <v>1</v>
      </c>
      <c r="L17" s="39">
        <f>SUM(D10)</f>
        <v>71</v>
      </c>
      <c r="M17" s="37"/>
      <c r="N17" s="39">
        <f>'TMA Tariff Rate Chart'!B7</f>
        <v>61</v>
      </c>
      <c r="O17" s="37"/>
      <c r="P17" s="84">
        <f t="shared" ref="P17:P25" si="1">(L17/4)*1.5</f>
        <v>26.625</v>
      </c>
      <c r="Q17" s="37"/>
      <c r="R17" s="40">
        <f t="shared" ref="R17:R25" si="2">(L17*M17+N17*O17)*K17</f>
        <v>0</v>
      </c>
      <c r="S17" s="40"/>
      <c r="T17" s="40">
        <f>R17+S17</f>
        <v>0</v>
      </c>
      <c r="U17" s="40">
        <f>IF((E17="yes"),ROUND((T17*0.13),2),0)</f>
        <v>0</v>
      </c>
      <c r="V17" s="40"/>
      <c r="W17" s="40">
        <f>R17*W15</f>
        <v>0</v>
      </c>
      <c r="X17" s="40">
        <f t="shared" ref="X17:X25" si="3">T17+U17+V17-W17</f>
        <v>0</v>
      </c>
      <c r="Y17" s="40">
        <f>R17*Y15</f>
        <v>0</v>
      </c>
      <c r="Z17" s="41"/>
    </row>
    <row r="18" spans="1:26" ht="19.899999999999999" x14ac:dyDescent="1.1000000000000001">
      <c r="A18" s="42">
        <v>3</v>
      </c>
      <c r="B18" s="90"/>
      <c r="C18" s="93"/>
      <c r="D18" s="93"/>
      <c r="E18" s="171" t="s">
        <v>48</v>
      </c>
      <c r="F18" s="37" t="s">
        <v>51</v>
      </c>
      <c r="G18" s="38" cm="1">
        <f t="array" ref="G18">_xlfn.IFS(F18="Leader",200%, F18="Side Musician",100%, F18="Single Musician", 200%, F18="Solo Harp", 200%, F18="Leader (non-playing)", 100%, F18="Contractor (also performing musician)", 150%, F18="Steward", 110%, F18="Contractor (non-playing)", 50%, F18="Harp or Concertmaster", 150%, F18="Principal Musician", 125%, F18="Librarian (also performing musician)", 150%, F18="Librarian (non-playing)", 50%, F18="Leader &amp; Contractor", 250%,F18 = "Accompanist (professional)", 157.63%, F18 = "Accompanist (non-professional)", 100%)</f>
        <v>1.1000000000000001</v>
      </c>
      <c r="H18" s="38"/>
      <c r="I18" s="38"/>
      <c r="J18" s="38"/>
      <c r="K18" s="38">
        <f t="shared" si="0"/>
        <v>1.1000000000000001</v>
      </c>
      <c r="L18" s="39">
        <f>SUM(D10)</f>
        <v>71</v>
      </c>
      <c r="M18" s="37"/>
      <c r="N18" s="39">
        <f>'TMA Tariff Rate Chart'!B7</f>
        <v>61</v>
      </c>
      <c r="O18" s="37"/>
      <c r="P18" s="84">
        <f t="shared" si="1"/>
        <v>26.625</v>
      </c>
      <c r="Q18" s="37"/>
      <c r="R18" s="40">
        <f t="shared" si="2"/>
        <v>0</v>
      </c>
      <c r="S18" s="40"/>
      <c r="T18" s="40">
        <f t="shared" ref="T18:T25" si="4">R18+S18</f>
        <v>0</v>
      </c>
      <c r="U18" s="40">
        <f>IF((E18="yes"),ROUND((T18*0.13),2),0)</f>
        <v>0</v>
      </c>
      <c r="V18" s="40"/>
      <c r="W18" s="40">
        <f>R18*W15</f>
        <v>0</v>
      </c>
      <c r="X18" s="40">
        <f t="shared" si="3"/>
        <v>0</v>
      </c>
      <c r="Y18" s="40">
        <f>R18*Y15</f>
        <v>0</v>
      </c>
      <c r="Z18" s="41"/>
    </row>
    <row r="19" spans="1:26" ht="19.899999999999999" x14ac:dyDescent="1.1000000000000001">
      <c r="A19" s="42">
        <v>4</v>
      </c>
      <c r="B19" s="91"/>
      <c r="C19" s="88"/>
      <c r="D19" s="88"/>
      <c r="E19" s="172" t="s">
        <v>48</v>
      </c>
      <c r="F19" s="37" t="s">
        <v>52</v>
      </c>
      <c r="G19" s="38" cm="1">
        <f t="array" ref="G19">_xlfn.IFS(F19="Leader",200%, F19="Side Musician",100%, F19="Single Musician", 200%, F19="Solo Harp", 200%, F19="Leader (non-playing)", 100%, F19="Contractor (also performing musician)", 150%, F19="Steward", 110%, F19="Contractor (non-playing)", 50%, F19="Harp or Concertmaster", 150%, F19="Principal Musician", 125%, F19="Librarian (also performing musician)", 150%, F19="Librarian (non-playing)", 50%, F19="Leader &amp; Contractor", 250%,F19 = "Accompanist (professional)", 157.63%, F19 = "Accompanist (non-professional)", 100%)</f>
        <v>1</v>
      </c>
      <c r="H19" s="38"/>
      <c r="I19" s="38"/>
      <c r="J19" s="38"/>
      <c r="K19" s="38">
        <f t="shared" si="0"/>
        <v>1</v>
      </c>
      <c r="L19" s="39">
        <f>SUM(D10)</f>
        <v>71</v>
      </c>
      <c r="M19" s="37"/>
      <c r="N19" s="39">
        <f>'TMA Tariff Rate Chart'!B7</f>
        <v>61</v>
      </c>
      <c r="O19" s="37"/>
      <c r="P19" s="84">
        <f t="shared" si="1"/>
        <v>26.625</v>
      </c>
      <c r="Q19" s="37"/>
      <c r="R19" s="40">
        <f t="shared" si="2"/>
        <v>0</v>
      </c>
      <c r="S19" s="40"/>
      <c r="T19" s="40">
        <f t="shared" si="4"/>
        <v>0</v>
      </c>
      <c r="U19" s="40">
        <f>IF((E19="yes"),ROUND((T19*0.13),2),0)</f>
        <v>0</v>
      </c>
      <c r="V19" s="40"/>
      <c r="W19" s="40">
        <f>R19*W15</f>
        <v>0</v>
      </c>
      <c r="X19" s="40">
        <f t="shared" si="3"/>
        <v>0</v>
      </c>
      <c r="Y19" s="40">
        <f>R19*Y15</f>
        <v>0</v>
      </c>
      <c r="Z19" s="41"/>
    </row>
    <row r="20" spans="1:26" ht="20.25" x14ac:dyDescent="1.1000000000000001">
      <c r="A20" s="42">
        <v>5</v>
      </c>
      <c r="B20" s="36"/>
      <c r="C20" s="88"/>
      <c r="D20" s="89"/>
      <c r="E20" s="172" t="s">
        <v>48</v>
      </c>
      <c r="F20" s="37" t="s">
        <v>52</v>
      </c>
      <c r="G20" s="38" cm="1">
        <f t="array" ref="G20">_xlfn.IFS(F20="Leader",200%, F20="Side Musician",100%, F20="Single Musician", 200%, F20="Solo Harp", 200%, F20="Leader (non-playing)", 100%, F20="Contractor (also performing musician)", 150%, F20="Steward", 110%, F20="Contractor (non-playing)", 50%, F20="Harp or Concertmaster", 150%, F20="Principal Musician", 125%, F20="Librarian (also performing musician)", 150%, F20="Librarian (non-playing)", 50%, F20="Leader &amp; Contractor", 250%,F20 = "Accompanist (professional)", 157.63%, F20 = "Accompanist (non-professional)", 100%)</f>
        <v>1</v>
      </c>
      <c r="H20" s="38"/>
      <c r="I20" s="38"/>
      <c r="J20" s="38"/>
      <c r="K20" s="38">
        <f t="shared" si="0"/>
        <v>1</v>
      </c>
      <c r="L20" s="39">
        <f>SUM(D10)</f>
        <v>71</v>
      </c>
      <c r="M20" s="37"/>
      <c r="N20" s="39">
        <f>'TMA Tariff Rate Chart'!B7</f>
        <v>61</v>
      </c>
      <c r="O20" s="37"/>
      <c r="P20" s="84">
        <f t="shared" si="1"/>
        <v>26.625</v>
      </c>
      <c r="Q20" s="37"/>
      <c r="R20" s="40">
        <f t="shared" si="2"/>
        <v>0</v>
      </c>
      <c r="S20" s="40"/>
      <c r="T20" s="40">
        <f t="shared" si="4"/>
        <v>0</v>
      </c>
      <c r="U20" s="40">
        <f>IF((E20="yes"),ROUND((T20*0.13),2),0)</f>
        <v>0</v>
      </c>
      <c r="V20" s="40"/>
      <c r="W20" s="40">
        <f>R20*W15</f>
        <v>0</v>
      </c>
      <c r="X20" s="40">
        <f t="shared" si="3"/>
        <v>0</v>
      </c>
      <c r="Y20" s="40">
        <f>R20*Y15</f>
        <v>0</v>
      </c>
      <c r="Z20" s="41"/>
    </row>
    <row r="21" spans="1:26" ht="19.899999999999999" x14ac:dyDescent="1.1000000000000001">
      <c r="A21" s="42">
        <v>6</v>
      </c>
      <c r="B21" s="36"/>
      <c r="C21" s="36"/>
      <c r="D21" s="37"/>
      <c r="E21" s="172" t="s">
        <v>50</v>
      </c>
      <c r="F21" s="37" t="s">
        <v>52</v>
      </c>
      <c r="G21" s="38" cm="1">
        <f t="array" ref="G21">_xlfn.IFS(F21="Leader",200%, F21="Side Musician",100%, F21="Single Musician", 200%, F21="Solo Harp", 200%, F21="Leader (non-playing)", 100%, F21="Contractor (also performing musician)", 150%, F21="Steward", 110%, F21="Contractor (non-playing)", 50%, F21="Harp or Concertmaster", 150%, F21="Principal Musician", 125%, F21="Librarian (also performing musician)", 150%, F21="Librarian (non-playing)", 50%, F21="Leader &amp; Contractor", 250%,F21 = "Accompanist (professional)", 157.63%, F21 = "Accompanist (non-professional)", 100%)</f>
        <v>1</v>
      </c>
      <c r="H21" s="38"/>
      <c r="I21" s="38"/>
      <c r="J21" s="38"/>
      <c r="K21" s="38">
        <f t="shared" si="0"/>
        <v>1</v>
      </c>
      <c r="L21" s="39">
        <f>SUM(D10)</f>
        <v>71</v>
      </c>
      <c r="M21" s="37"/>
      <c r="N21" s="39">
        <f>'TMA Tariff Rate Chart'!B7</f>
        <v>61</v>
      </c>
      <c r="O21" s="37"/>
      <c r="P21" s="84">
        <f t="shared" si="1"/>
        <v>26.625</v>
      </c>
      <c r="Q21" s="37"/>
      <c r="R21" s="40">
        <f t="shared" si="2"/>
        <v>0</v>
      </c>
      <c r="S21" s="40"/>
      <c r="T21" s="40">
        <f t="shared" si="4"/>
        <v>0</v>
      </c>
      <c r="U21" s="40">
        <f>IF((E21="yes"),ROUND((T21*0.13),2),0)</f>
        <v>0</v>
      </c>
      <c r="V21" s="40"/>
      <c r="W21" s="40">
        <f>R21*W15</f>
        <v>0</v>
      </c>
      <c r="X21" s="40">
        <f t="shared" si="3"/>
        <v>0</v>
      </c>
      <c r="Y21" s="40">
        <f>R21*Y15</f>
        <v>0</v>
      </c>
      <c r="Z21" s="41"/>
    </row>
    <row r="22" spans="1:26" ht="19.899999999999999" x14ac:dyDescent="1.1000000000000001">
      <c r="A22" s="42">
        <v>7</v>
      </c>
      <c r="B22" s="36"/>
      <c r="C22" s="92"/>
      <c r="D22" s="37"/>
      <c r="E22" s="172" t="s">
        <v>50</v>
      </c>
      <c r="F22" s="37" t="s">
        <v>52</v>
      </c>
      <c r="G22" s="38" cm="1">
        <f t="array" ref="G22">_xlfn.IFS(F22="Leader",200%, F22="Side Musician",100%, F22="Single Musician", 200%, F22="Solo Harp", 200%, F22="Leader (non-playing)", 100%, F22="Contractor (also performing musician)", 150%, F22="Steward", 110%, F22="Contractor (non-playing)", 50%, F22="Harp or Concertmaster", 150%, F22="Principal Musician", 125%, F22="Librarian (also performing musician)", 150%, F22="Librarian (non-playing)", 50%, F22="Leader &amp; Contractor", 250%,F22 = "Accompanist (professional)", 157.63%, F22 = "Accompanist (non-professional)", 100%)</f>
        <v>1</v>
      </c>
      <c r="H22" s="38"/>
      <c r="I22" s="38"/>
      <c r="J22" s="38"/>
      <c r="K22" s="38">
        <f t="shared" si="0"/>
        <v>1</v>
      </c>
      <c r="L22" s="39">
        <f>SUM(D10)</f>
        <v>71</v>
      </c>
      <c r="M22" s="37"/>
      <c r="N22" s="39">
        <f>'TMA Tariff Rate Chart'!B7</f>
        <v>61</v>
      </c>
      <c r="O22" s="37"/>
      <c r="P22" s="84">
        <f t="shared" si="1"/>
        <v>26.625</v>
      </c>
      <c r="Q22" s="37"/>
      <c r="R22" s="40">
        <f t="shared" si="2"/>
        <v>0</v>
      </c>
      <c r="S22" s="40"/>
      <c r="T22" s="40">
        <f t="shared" si="4"/>
        <v>0</v>
      </c>
      <c r="U22" s="40">
        <f>IF((E22="yes"),ROUND((T22*0.13),2),0)</f>
        <v>0</v>
      </c>
      <c r="V22" s="40"/>
      <c r="W22" s="40">
        <f>R22*W15</f>
        <v>0</v>
      </c>
      <c r="X22" s="40">
        <f t="shared" si="3"/>
        <v>0</v>
      </c>
      <c r="Y22" s="40">
        <f>R22*Y15</f>
        <v>0</v>
      </c>
      <c r="Z22" s="41"/>
    </row>
    <row r="23" spans="1:26" ht="19.899999999999999" x14ac:dyDescent="1.1000000000000001">
      <c r="A23" s="42">
        <v>8</v>
      </c>
      <c r="B23" s="36"/>
      <c r="C23" s="36"/>
      <c r="D23" s="37"/>
      <c r="E23" s="172" t="s">
        <v>48</v>
      </c>
      <c r="F23" s="37" t="s">
        <v>52</v>
      </c>
      <c r="G23" s="38" cm="1">
        <f t="array" ref="G23">_xlfn.IFS(F23="Leader",200%, F23="Side Musician",100%, F23="Single Musician", 200%, F23="Solo Harp", 200%, F23="Leader (non-playing)", 100%, F23="Contractor (also performing musician)", 150%, F23="Steward", 110%, F23="Contractor (non-playing)", 50%, F23="Harp or Concertmaster", 150%, F23="Principal Musician", 125%, F23="Librarian (also performing musician)", 150%, F23="Librarian (non-playing)", 50%, F23="Leader &amp; Contractor", 250%,F23 = "Accompanist (professional)", 157.63%, F23 = "Accompanist (non-professional)", 100%)</f>
        <v>1</v>
      </c>
      <c r="H23" s="38"/>
      <c r="I23" s="38"/>
      <c r="J23" s="38"/>
      <c r="K23" s="38">
        <f t="shared" si="0"/>
        <v>1</v>
      </c>
      <c r="L23" s="39">
        <f>SUM(D10)</f>
        <v>71</v>
      </c>
      <c r="M23" s="37"/>
      <c r="N23" s="39">
        <f>'TMA Tariff Rate Chart'!B7</f>
        <v>61</v>
      </c>
      <c r="O23" s="37"/>
      <c r="P23" s="84">
        <f t="shared" si="1"/>
        <v>26.625</v>
      </c>
      <c r="Q23" s="37"/>
      <c r="R23" s="40">
        <f t="shared" si="2"/>
        <v>0</v>
      </c>
      <c r="S23" s="40"/>
      <c r="T23" s="40">
        <f t="shared" si="4"/>
        <v>0</v>
      </c>
      <c r="U23" s="40">
        <f>IF((E23="yes"),ROUND((T23*0.13),2),0)</f>
        <v>0</v>
      </c>
      <c r="V23" s="40"/>
      <c r="W23" s="40">
        <f>R23*W15</f>
        <v>0</v>
      </c>
      <c r="X23" s="40">
        <f t="shared" si="3"/>
        <v>0</v>
      </c>
      <c r="Y23" s="40">
        <f>R23*Y15</f>
        <v>0</v>
      </c>
      <c r="Z23" s="41"/>
    </row>
    <row r="24" spans="1:26" ht="19.899999999999999" x14ac:dyDescent="1.1000000000000001">
      <c r="A24" s="42">
        <v>9</v>
      </c>
      <c r="B24" s="36"/>
      <c r="C24" s="36"/>
      <c r="D24" s="37"/>
      <c r="E24" s="172" t="s">
        <v>50</v>
      </c>
      <c r="F24" s="37" t="s">
        <v>52</v>
      </c>
      <c r="G24" s="38" cm="1">
        <f t="array" ref="G24">_xlfn.IFS(F24="Leader",200%, F24="Side Musician",100%, F24="Single Musician", 200%, F24="Solo Harp", 200%, F24="Leader (non-playing)", 100%, F24="Contractor (also performing musician)", 150%, F24="Steward", 110%, F24="Contractor (non-playing)", 50%, F24="Harp or Concertmaster", 150%, F24="Principal Musician", 125%, F24="Librarian (also performing musician)", 150%, F24="Librarian (non-playing)", 50%, F24="Leader &amp; Contractor", 250%,F24 = "Accompanist (professional)", 157.63%, F24 = "Accompanist (non-professional)", 100%)</f>
        <v>1</v>
      </c>
      <c r="H24" s="38"/>
      <c r="I24" s="38"/>
      <c r="J24" s="38"/>
      <c r="K24" s="38">
        <f t="shared" si="0"/>
        <v>1</v>
      </c>
      <c r="L24" s="39">
        <f>SUM(D10)</f>
        <v>71</v>
      </c>
      <c r="M24" s="37"/>
      <c r="N24" s="39">
        <f>'TMA Tariff Rate Chart'!B7</f>
        <v>61</v>
      </c>
      <c r="O24" s="37"/>
      <c r="P24" s="84">
        <f t="shared" si="1"/>
        <v>26.625</v>
      </c>
      <c r="Q24" s="37"/>
      <c r="R24" s="40">
        <f t="shared" si="2"/>
        <v>0</v>
      </c>
      <c r="S24" s="40"/>
      <c r="T24" s="40">
        <f t="shared" si="4"/>
        <v>0</v>
      </c>
      <c r="U24" s="40">
        <f>IF((E24="yes"),ROUND((T24*0.13),2),0)</f>
        <v>0</v>
      </c>
      <c r="V24" s="40"/>
      <c r="W24" s="40">
        <f>R24*W15</f>
        <v>0</v>
      </c>
      <c r="X24" s="40">
        <f t="shared" si="3"/>
        <v>0</v>
      </c>
      <c r="Y24" s="40">
        <f>R24*Y15</f>
        <v>0</v>
      </c>
      <c r="Z24" s="41"/>
    </row>
    <row r="25" spans="1:26" ht="20.25" thickBot="1" x14ac:dyDescent="1.1499999999999999">
      <c r="A25" s="43">
        <v>10</v>
      </c>
      <c r="B25" s="36"/>
      <c r="C25" s="36"/>
      <c r="D25" s="37"/>
      <c r="E25" s="172" t="s">
        <v>50</v>
      </c>
      <c r="F25" s="37" t="s">
        <v>52</v>
      </c>
      <c r="G25" s="38" cm="1">
        <f t="array" ref="G25">_xlfn.IFS(F25="Leader",200%, F25="Side Musician",100%, F25="Single Musician", 200%, F25="Solo Harp", 200%, F25="Leader (non-playing)", 100%, F25="Contractor (also performing musician)", 150%, F25="Steward", 110%, F25="Contractor (non-playing)", 50%, F25="Harp or Concertmaster", 150%, F25="Principal Musician", 125%, F25="Librarian (also performing musician)", 150%, F25="Librarian (non-playing)", 50%, F25="Leader &amp; Contractor", 250%,F25 = "Accompanist (professional)", 157.63%, F25 = "Accompanist (non-professional)", 100%)</f>
        <v>1</v>
      </c>
      <c r="H25" s="38"/>
      <c r="I25" s="38"/>
      <c r="J25" s="38"/>
      <c r="K25" s="38">
        <f t="shared" si="0"/>
        <v>1</v>
      </c>
      <c r="L25" s="39">
        <f>SUM(D10)</f>
        <v>71</v>
      </c>
      <c r="M25" s="37"/>
      <c r="N25" s="39">
        <f>'TMA Tariff Rate Chart'!B7</f>
        <v>61</v>
      </c>
      <c r="O25" s="37"/>
      <c r="P25" s="84">
        <f t="shared" si="1"/>
        <v>26.625</v>
      </c>
      <c r="Q25" s="37"/>
      <c r="R25" s="40">
        <f t="shared" si="2"/>
        <v>0</v>
      </c>
      <c r="S25" s="40"/>
      <c r="T25" s="40">
        <f t="shared" si="4"/>
        <v>0</v>
      </c>
      <c r="U25" s="40">
        <f>IF((E25="yes"),ROUND((T25*0.13),2),0)</f>
        <v>0</v>
      </c>
      <c r="V25" s="40"/>
      <c r="W25" s="40">
        <f>R25*W15</f>
        <v>0</v>
      </c>
      <c r="X25" s="40">
        <f t="shared" si="3"/>
        <v>0</v>
      </c>
      <c r="Y25" s="40">
        <f>R25*Y15</f>
        <v>0</v>
      </c>
      <c r="Z25" s="41"/>
    </row>
    <row r="26" spans="1:26" ht="20.25" thickBot="1" x14ac:dyDescent="1.1499999999999999">
      <c r="A26" s="23"/>
      <c r="B26" s="23"/>
      <c r="C26" s="23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82"/>
      <c r="P26" s="53"/>
      <c r="Q26" s="53" t="s">
        <v>53</v>
      </c>
      <c r="R26" s="54">
        <f>SUM(R16:R25)</f>
        <v>0</v>
      </c>
      <c r="S26" s="44"/>
      <c r="T26" s="55" t="s">
        <v>54</v>
      </c>
      <c r="U26" s="54">
        <f>SUM(U16:U25)</f>
        <v>0</v>
      </c>
      <c r="V26" s="80" t="s">
        <v>55</v>
      </c>
      <c r="W26" s="81">
        <f>SUM(W16:W25)</f>
        <v>0</v>
      </c>
      <c r="X26" s="45"/>
      <c r="Y26" s="45"/>
      <c r="Z26" s="45"/>
    </row>
    <row r="27" spans="1:26" ht="20.25" thickBot="1" x14ac:dyDescent="1.1499999999999999">
      <c r="A27" s="23"/>
      <c r="B27" s="23"/>
      <c r="C27" s="23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46"/>
      <c r="P27" s="46"/>
      <c r="Q27" s="46"/>
      <c r="R27" s="23"/>
      <c r="S27" s="47"/>
      <c r="T27" s="47"/>
      <c r="U27" s="44"/>
      <c r="V27" s="56"/>
      <c r="W27" s="57" t="s">
        <v>56</v>
      </c>
      <c r="X27" s="58">
        <f>SUM(X16:X25)</f>
        <v>0</v>
      </c>
      <c r="Y27" s="45"/>
      <c r="Z27" s="45"/>
    </row>
    <row r="28" spans="1:26" ht="20.25" thickBot="1" x14ac:dyDescent="1.1499999999999999">
      <c r="A28" s="23"/>
      <c r="B28" s="23"/>
      <c r="C28" s="23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46"/>
      <c r="P28" s="46"/>
      <c r="Q28" s="46"/>
      <c r="R28" s="48"/>
      <c r="S28" s="48"/>
      <c r="T28" s="48"/>
      <c r="U28" s="23"/>
      <c r="V28" s="23"/>
      <c r="W28" s="23"/>
      <c r="X28" s="59" t="s">
        <v>57</v>
      </c>
      <c r="Y28" s="60">
        <f>SUM(Y16:Y25)</f>
        <v>0</v>
      </c>
      <c r="Z28" s="45"/>
    </row>
    <row r="29" spans="1:26" ht="20.25" thickBot="1" x14ac:dyDescent="1.1499999999999999">
      <c r="A29" s="23"/>
      <c r="B29" s="23"/>
      <c r="C29" s="23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46"/>
      <c r="P29" s="46"/>
      <c r="Q29" s="46"/>
      <c r="R29" s="48"/>
      <c r="S29" s="48"/>
      <c r="T29" s="48"/>
      <c r="U29" s="48"/>
      <c r="V29" s="48"/>
      <c r="W29" s="23"/>
      <c r="X29" s="77"/>
      <c r="Y29" s="78" t="s">
        <v>58</v>
      </c>
      <c r="Z29" s="79">
        <f>SUM(Z16:Z25)</f>
        <v>0</v>
      </c>
    </row>
    <row r="30" spans="1:26" ht="19.899999999999999" x14ac:dyDescent="1.1000000000000001">
      <c r="A30" s="23"/>
      <c r="B30" s="23"/>
      <c r="C30" s="23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46"/>
      <c r="P30" s="46"/>
      <c r="Q30" s="46"/>
      <c r="R30" s="48"/>
      <c r="S30" s="48"/>
      <c r="T30" s="48"/>
      <c r="U30" s="48"/>
      <c r="V30" s="48"/>
      <c r="W30" s="48"/>
      <c r="X30" s="48"/>
      <c r="Y30" s="47"/>
      <c r="Z30" s="23"/>
    </row>
    <row r="31" spans="1:26" ht="20.25" thickBot="1" x14ac:dyDescent="1.1499999999999999">
      <c r="A31" s="23"/>
      <c r="B31" s="23"/>
      <c r="C31" s="23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9.899999999999999" x14ac:dyDescent="1.1000000000000001">
      <c r="A32" s="23"/>
      <c r="B32" s="128" t="s">
        <v>59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30"/>
      <c r="Z32" s="23"/>
    </row>
    <row r="33" spans="1:26" ht="19.899999999999999" x14ac:dyDescent="1.1000000000000001">
      <c r="A33" s="23"/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5"/>
      <c r="Z33" s="23"/>
    </row>
    <row r="34" spans="1:26" ht="19.899999999999999" x14ac:dyDescent="1.1000000000000001">
      <c r="A34" s="23"/>
      <c r="B34" s="131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3"/>
      <c r="Z34" s="23"/>
    </row>
    <row r="35" spans="1:26" ht="19.899999999999999" x14ac:dyDescent="1.1000000000000001">
      <c r="A35" s="23"/>
      <c r="B35" s="103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5"/>
      <c r="Z35" s="23"/>
    </row>
    <row r="36" spans="1:26" ht="19.899999999999999" x14ac:dyDescent="1.1000000000000001">
      <c r="A36" s="23"/>
      <c r="B36" s="131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3"/>
      <c r="Z36" s="23"/>
    </row>
    <row r="37" spans="1:26" ht="19.899999999999999" x14ac:dyDescent="1.1000000000000001">
      <c r="A37" s="23"/>
      <c r="B37" s="103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5"/>
      <c r="Z37" s="23"/>
    </row>
    <row r="38" spans="1:26" ht="20.25" thickBot="1" x14ac:dyDescent="1.1499999999999999">
      <c r="A38" s="23"/>
      <c r="B38" s="125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7"/>
      <c r="Z38" s="23"/>
    </row>
    <row r="41" spans="1:26" ht="22.9" x14ac:dyDescent="0.45">
      <c r="B41" s="173" t="s">
        <v>60</v>
      </c>
    </row>
    <row r="42" spans="1:26" ht="22.9" x14ac:dyDescent="0.45">
      <c r="B42" s="173" t="s">
        <v>61</v>
      </c>
    </row>
    <row r="43" spans="1:26" ht="22.9" x14ac:dyDescent="1.25">
      <c r="B43" s="174" t="s">
        <v>62</v>
      </c>
    </row>
    <row r="44" spans="1:26" ht="21" x14ac:dyDescent="1.1499999999999999">
      <c r="B44" s="175" t="s">
        <v>88</v>
      </c>
    </row>
  </sheetData>
  <mergeCells count="35">
    <mergeCell ref="X14:X15"/>
    <mergeCell ref="G1:T1"/>
    <mergeCell ref="B14:B15"/>
    <mergeCell ref="C14:C15"/>
    <mergeCell ref="D14:D15"/>
    <mergeCell ref="F14:F15"/>
    <mergeCell ref="R14:R15"/>
    <mergeCell ref="K14:K15"/>
    <mergeCell ref="H14:H15"/>
    <mergeCell ref="J14:J15"/>
    <mergeCell ref="G14:G15"/>
    <mergeCell ref="M14:M15"/>
    <mergeCell ref="O14:O15"/>
    <mergeCell ref="I14:I15"/>
    <mergeCell ref="L14:L15"/>
    <mergeCell ref="N14:N15"/>
    <mergeCell ref="E14:E15"/>
    <mergeCell ref="B38:Y38"/>
    <mergeCell ref="B32:Y32"/>
    <mergeCell ref="B33:Y33"/>
    <mergeCell ref="B34:Y34"/>
    <mergeCell ref="B35:Y35"/>
    <mergeCell ref="B36:Y36"/>
    <mergeCell ref="A2:F2"/>
    <mergeCell ref="P14:P15"/>
    <mergeCell ref="Q14:Q15"/>
    <mergeCell ref="G2:T2"/>
    <mergeCell ref="B37:Y37"/>
    <mergeCell ref="L6:L7"/>
    <mergeCell ref="H10:K10"/>
    <mergeCell ref="H4:L4"/>
    <mergeCell ref="L8:L9"/>
    <mergeCell ref="H5:K5"/>
    <mergeCell ref="H6:K7"/>
    <mergeCell ref="H8:K9"/>
  </mergeCells>
  <dataValidations count="11">
    <dataValidation type="list" allowBlank="1" showInputMessage="1" showErrorMessage="1" sqref="D8" xr:uid="{E14CE658-C31E-4458-81B6-94819A9E6384}">
      <formula1>"General Scale"</formula1>
    </dataValidation>
    <dataValidation type="list" allowBlank="1" showInputMessage="1" showErrorMessage="1" sqref="D9" xr:uid="{2205154F-F272-47A4-B448-32F7AA2793E5}">
      <formula1>"Up to 1000, 1001-3500, 3501 or greater"</formula1>
    </dataValidation>
    <dataValidation type="list" allowBlank="1" showInputMessage="1" showErrorMessage="1" sqref="D11" xr:uid="{12D23B43-C748-4F66-B1AF-74F356257F18}">
      <formula1>"8%, 9%, 10%, 11%, 12%, 13%, 14%, 15%, 16%, 17%, 18%"</formula1>
    </dataValidation>
    <dataValidation type="custom" operator="greaterThanOrEqual" allowBlank="1" showInputMessage="1" showErrorMessage="1" sqref="M16:M24 P16:P25" xr:uid="{32B18A49-C0CC-4541-9EA9-453BADAED675}">
      <formula1>3</formula1>
    </dataValidation>
    <dataValidation type="custom" allowBlank="1" showInputMessage="1" showErrorMessage="1" sqref="M16:M24 L16:L25" xr:uid="{467222F9-03DB-44DE-8B6E-2228CA0BC260}">
      <formula1>$D$10</formula1>
    </dataValidation>
    <dataValidation type="list" allowBlank="1" showInputMessage="1" showErrorMessage="1" sqref="H16:H25" xr:uid="{1555DD4C-A158-4CCC-9A37-F1E02AE15F06}">
      <formula1>"50%"</formula1>
    </dataValidation>
    <dataValidation type="list" allowBlank="1" showInputMessage="1" showErrorMessage="1" sqref="I16:I25" xr:uid="{5764556A-3BA4-4E78-A477-4B4E48AE8A26}">
      <formula1>"25%"</formula1>
    </dataValidation>
    <dataValidation type="list" allowBlank="1" showInputMessage="1" showErrorMessage="1" sqref="J16:J25" xr:uid="{9206568D-A891-4BE5-9B9A-8265B233F733}">
      <formula1>"10%"</formula1>
    </dataValidation>
    <dataValidation type="list" operator="equal" allowBlank="1" showInputMessage="1" showErrorMessage="1" sqref="Z16:Z25" xr:uid="{01F41921-C363-45BB-8156-C3CA428CD57C}">
      <formula1>"75"</formula1>
    </dataValidation>
    <dataValidation type="list" allowBlank="1" showInputMessage="1" showErrorMessage="1" sqref="E16:E25" xr:uid="{8B9F5164-0368-484C-82E1-B00AEA50CDA3}">
      <formula1>"yes, no"</formula1>
    </dataValidation>
    <dataValidation type="custom" allowBlank="1" showInputMessage="1" showErrorMessage="1" sqref="P16:P25" xr:uid="{0BBB65EA-4782-4E04-984B-C468BDFF4B72}">
      <formula1>$D$9</formula1>
    </dataValidation>
  </dataValidations>
  <pageMargins left="0.25" right="0.25" top="0.75" bottom="0.75" header="0.3" footer="0.3"/>
  <pageSetup scale="3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DEF6B80-DBE5-442C-854E-CCCD40EF9233}">
          <x14:formula1>
            <xm:f>'TMA Tariff Rate Chart'!$A$6:$A$21</xm:f>
          </x14:formula1>
          <xm:sqref>F16:F25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72D0-3118-4E27-9CAA-7F9B943B641C}">
  <dimension ref="A1:I46"/>
  <sheetViews>
    <sheetView workbookViewId="0">
      <selection activeCell="A2" sqref="A2:C2"/>
    </sheetView>
  </sheetViews>
  <sheetFormatPr defaultRowHeight="14.25" x14ac:dyDescent="0.45"/>
  <cols>
    <col min="1" max="1" width="32.59765625" bestFit="1" customWidth="1"/>
    <col min="2" max="2" width="9.73046875" bestFit="1" customWidth="1"/>
    <col min="3" max="4" width="13.265625" bestFit="1" customWidth="1"/>
    <col min="5" max="5" width="13.73046875" bestFit="1" customWidth="1"/>
    <col min="6" max="6" width="11.59765625" customWidth="1"/>
  </cols>
  <sheetData>
    <row r="1" spans="1:6" ht="25.9" x14ac:dyDescent="1.05">
      <c r="A1" s="86" t="s">
        <v>14</v>
      </c>
    </row>
    <row r="2" spans="1:6" ht="19.899999999999999" x14ac:dyDescent="1.1000000000000001">
      <c r="A2" s="162" t="s">
        <v>2</v>
      </c>
      <c r="B2" s="162"/>
      <c r="C2" s="162"/>
    </row>
    <row r="3" spans="1:6" ht="7.9" customHeight="1" thickBot="1" x14ac:dyDescent="0.5"/>
    <row r="4" spans="1:6" ht="14.65" thickBot="1" x14ac:dyDescent="0.5">
      <c r="B4" s="156" t="s">
        <v>63</v>
      </c>
      <c r="C4" s="159" t="s">
        <v>64</v>
      </c>
      <c r="D4" s="160"/>
      <c r="E4" s="161"/>
    </row>
    <row r="5" spans="1:6" ht="27.4" thickBot="1" x14ac:dyDescent="0.5">
      <c r="B5" s="157"/>
      <c r="C5" s="3" t="s">
        <v>65</v>
      </c>
      <c r="D5" s="3" t="s">
        <v>65</v>
      </c>
      <c r="E5" s="3" t="s">
        <v>65</v>
      </c>
    </row>
    <row r="6" spans="1:6" ht="14.65" thickBot="1" x14ac:dyDescent="0.5">
      <c r="B6" s="158"/>
      <c r="C6" s="4" t="s">
        <v>66</v>
      </c>
      <c r="D6" s="4" t="s">
        <v>67</v>
      </c>
      <c r="E6" s="7" t="s">
        <v>68</v>
      </c>
      <c r="F6" s="8" t="s">
        <v>69</v>
      </c>
    </row>
    <row r="7" spans="1:6" x14ac:dyDescent="0.45">
      <c r="A7" s="6" t="s">
        <v>52</v>
      </c>
      <c r="B7" s="2">
        <v>61</v>
      </c>
      <c r="C7" s="2">
        <v>71</v>
      </c>
      <c r="D7" s="2">
        <v>82</v>
      </c>
      <c r="E7" s="2">
        <v>97</v>
      </c>
      <c r="F7" s="9">
        <v>1</v>
      </c>
    </row>
    <row r="8" spans="1:6" x14ac:dyDescent="0.45">
      <c r="A8" s="6" t="s">
        <v>49</v>
      </c>
      <c r="B8" s="2">
        <f>B7*2</f>
        <v>122</v>
      </c>
      <c r="C8" s="2">
        <f>C7*2</f>
        <v>142</v>
      </c>
      <c r="D8" s="2">
        <f>D7*2</f>
        <v>164</v>
      </c>
      <c r="E8" s="2">
        <f>E7*2</f>
        <v>194</v>
      </c>
      <c r="F8" s="10">
        <v>2</v>
      </c>
    </row>
    <row r="9" spans="1:6" x14ac:dyDescent="0.45">
      <c r="A9" s="6" t="s">
        <v>70</v>
      </c>
      <c r="B9" s="2">
        <f>+B7</f>
        <v>61</v>
      </c>
      <c r="C9" s="2">
        <f>C7</f>
        <v>71</v>
      </c>
      <c r="D9" s="2">
        <f t="shared" ref="D9:E9" si="0">D7</f>
        <v>82</v>
      </c>
      <c r="E9" s="2">
        <f t="shared" si="0"/>
        <v>97</v>
      </c>
      <c r="F9" s="10">
        <v>1</v>
      </c>
    </row>
    <row r="10" spans="1:6" x14ac:dyDescent="0.45">
      <c r="A10" s="6" t="s">
        <v>71</v>
      </c>
      <c r="B10" s="2">
        <f>B7*2</f>
        <v>122</v>
      </c>
      <c r="C10" s="2">
        <f>+C7*2</f>
        <v>142</v>
      </c>
      <c r="D10" s="2">
        <f>D8</f>
        <v>164</v>
      </c>
      <c r="E10" s="2">
        <f>E8</f>
        <v>194</v>
      </c>
      <c r="F10" s="10">
        <v>2</v>
      </c>
    </row>
    <row r="11" spans="1:6" x14ac:dyDescent="0.45">
      <c r="A11" s="6" t="s">
        <v>51</v>
      </c>
      <c r="B11" s="2">
        <f>B7*1.1</f>
        <v>67.100000000000009</v>
      </c>
      <c r="C11" s="2">
        <f>C7*1.1</f>
        <v>78.100000000000009</v>
      </c>
      <c r="D11" s="2">
        <f t="shared" ref="D11:E11" si="1">D7*1.1</f>
        <v>90.2</v>
      </c>
      <c r="E11" s="2">
        <f t="shared" si="1"/>
        <v>106.7</v>
      </c>
      <c r="F11" s="9">
        <v>1.1000000000000001</v>
      </c>
    </row>
    <row r="12" spans="1:6" ht="27" x14ac:dyDescent="0.45">
      <c r="A12" s="6" t="s">
        <v>72</v>
      </c>
      <c r="B12" s="2">
        <f>B7*F12</f>
        <v>91.5</v>
      </c>
      <c r="C12" s="2">
        <f>C7*1.5</f>
        <v>106.5</v>
      </c>
      <c r="D12" s="2">
        <f>D7*1.5</f>
        <v>123</v>
      </c>
      <c r="E12" s="2">
        <f>E7*1.5</f>
        <v>145.5</v>
      </c>
      <c r="F12" s="9">
        <v>1.5</v>
      </c>
    </row>
    <row r="13" spans="1:6" x14ac:dyDescent="0.45">
      <c r="A13" s="6" t="s">
        <v>73</v>
      </c>
      <c r="B13" s="2">
        <f>B7/2</f>
        <v>30.5</v>
      </c>
      <c r="C13" s="2">
        <f>C7*0.5</f>
        <v>35.5</v>
      </c>
      <c r="D13" s="2">
        <f t="shared" ref="D13:E13" si="2">D7*0.5</f>
        <v>41</v>
      </c>
      <c r="E13" s="2">
        <f t="shared" si="2"/>
        <v>48.5</v>
      </c>
      <c r="F13" s="9">
        <v>0.5</v>
      </c>
    </row>
    <row r="14" spans="1:6" ht="14.65" thickBot="1" x14ac:dyDescent="0.5">
      <c r="A14" s="6" t="s">
        <v>74</v>
      </c>
      <c r="B14" s="2">
        <f>B7*F14</f>
        <v>91.5</v>
      </c>
      <c r="C14" s="2">
        <f>C9*1.5</f>
        <v>106.5</v>
      </c>
      <c r="D14" s="2">
        <f t="shared" ref="D14:E14" si="3">D9*1.5</f>
        <v>123</v>
      </c>
      <c r="E14" s="2">
        <f t="shared" si="3"/>
        <v>145.5</v>
      </c>
      <c r="F14" s="9">
        <v>1.5</v>
      </c>
    </row>
    <row r="15" spans="1:6" ht="14.65" thickBot="1" x14ac:dyDescent="0.5">
      <c r="A15" s="6" t="s">
        <v>75</v>
      </c>
      <c r="B15" s="2">
        <f>B14*2</f>
        <v>183</v>
      </c>
      <c r="C15" s="2">
        <f>C14*2</f>
        <v>213</v>
      </c>
      <c r="D15" s="2">
        <f>D14*2</f>
        <v>246</v>
      </c>
      <c r="E15" s="2">
        <f>E14*2</f>
        <v>291</v>
      </c>
      <c r="F15" s="10">
        <v>2</v>
      </c>
    </row>
    <row r="16" spans="1:6" ht="14.65" thickBot="1" x14ac:dyDescent="0.5">
      <c r="A16" s="6" t="s">
        <v>76</v>
      </c>
      <c r="B16" s="2">
        <f>B7*1.25</f>
        <v>76.25</v>
      </c>
      <c r="C16" s="2">
        <f>C7*1.25</f>
        <v>88.75</v>
      </c>
      <c r="D16" s="2">
        <f>D7*1.25</f>
        <v>102.5</v>
      </c>
      <c r="E16" s="2">
        <f>E7*1.25</f>
        <v>121.25</v>
      </c>
      <c r="F16" s="9">
        <v>1.25</v>
      </c>
    </row>
    <row r="17" spans="1:9" ht="14.65" thickBot="1" x14ac:dyDescent="0.5">
      <c r="A17" s="6" t="s">
        <v>77</v>
      </c>
      <c r="B17" s="2">
        <f>B7*1.5</f>
        <v>91.5</v>
      </c>
      <c r="C17" s="2">
        <f>C7*1.5</f>
        <v>106.5</v>
      </c>
      <c r="D17" s="2">
        <f>D7*1.5</f>
        <v>123</v>
      </c>
      <c r="E17" s="2">
        <f>E7*1.5</f>
        <v>145.5</v>
      </c>
      <c r="F17" s="9">
        <v>1.5</v>
      </c>
    </row>
    <row r="18" spans="1:9" ht="14.65" thickBot="1" x14ac:dyDescent="0.5">
      <c r="A18" s="6" t="s">
        <v>78</v>
      </c>
      <c r="B18" s="2">
        <f>B7*0.5</f>
        <v>30.5</v>
      </c>
      <c r="C18" s="2">
        <f>C7*0.5</f>
        <v>35.5</v>
      </c>
      <c r="D18" s="2">
        <f t="shared" ref="D18:E18" si="4">D7*0.5</f>
        <v>41</v>
      </c>
      <c r="E18" s="2">
        <f t="shared" si="4"/>
        <v>48.5</v>
      </c>
      <c r="F18" s="9">
        <v>0.5</v>
      </c>
    </row>
    <row r="19" spans="1:9" ht="14.65" thickBot="1" x14ac:dyDescent="0.5">
      <c r="A19" s="6" t="s">
        <v>79</v>
      </c>
      <c r="B19" s="2">
        <f>B7*2.5</f>
        <v>152.5</v>
      </c>
      <c r="C19" s="2">
        <f>C7*2.5</f>
        <v>177.5</v>
      </c>
      <c r="D19" s="2">
        <f t="shared" ref="D19:E19" si="5">D7*2.5</f>
        <v>205</v>
      </c>
      <c r="E19" s="2">
        <f t="shared" si="5"/>
        <v>242.5</v>
      </c>
      <c r="F19" s="9">
        <v>2.5</v>
      </c>
    </row>
    <row r="20" spans="1:9" ht="14.65" thickBot="1" x14ac:dyDescent="0.5">
      <c r="A20" s="6" t="s">
        <v>80</v>
      </c>
      <c r="B20" s="2">
        <f>B7*F20</f>
        <v>96.154300000000006</v>
      </c>
      <c r="C20" s="2" t="s">
        <v>81</v>
      </c>
      <c r="D20" s="2" t="s">
        <v>81</v>
      </c>
      <c r="E20" s="2" t="s">
        <v>81</v>
      </c>
      <c r="F20" s="83">
        <v>1.5763</v>
      </c>
    </row>
    <row r="21" spans="1:9" ht="14.65" thickBot="1" x14ac:dyDescent="0.5">
      <c r="A21" s="6" t="s">
        <v>82</v>
      </c>
      <c r="B21" s="2">
        <f>B7*F21</f>
        <v>61</v>
      </c>
      <c r="C21" s="2" t="s">
        <v>81</v>
      </c>
      <c r="D21" s="2" t="s">
        <v>81</v>
      </c>
      <c r="E21" s="2" t="s">
        <v>81</v>
      </c>
      <c r="F21" s="83">
        <v>1</v>
      </c>
    </row>
    <row r="22" spans="1:9" ht="14.65" thickBot="1" x14ac:dyDescent="0.5">
      <c r="A22" s="6" t="s">
        <v>83</v>
      </c>
      <c r="B22" s="2">
        <f>B7*0.5</f>
        <v>30.5</v>
      </c>
      <c r="C22" s="2">
        <f>C7*0.5</f>
        <v>35.5</v>
      </c>
      <c r="D22" s="2">
        <f>D7*0.5</f>
        <v>41</v>
      </c>
      <c r="E22" s="2">
        <f>E7*0.5</f>
        <v>48.5</v>
      </c>
      <c r="F22" s="9">
        <v>0.5</v>
      </c>
    </row>
    <row r="23" spans="1:9" x14ac:dyDescent="0.45">
      <c r="A23" s="6" t="s">
        <v>84</v>
      </c>
      <c r="B23" s="2">
        <f>B7*0.25</f>
        <v>15.25</v>
      </c>
      <c r="C23" s="2">
        <f>C7*0.25</f>
        <v>17.75</v>
      </c>
      <c r="D23" s="2">
        <f t="shared" ref="D23:E23" si="6">D7*0.25</f>
        <v>20.5</v>
      </c>
      <c r="E23" s="2">
        <f t="shared" si="6"/>
        <v>24.25</v>
      </c>
      <c r="F23" s="9">
        <v>0.25</v>
      </c>
    </row>
    <row r="24" spans="1:9" x14ac:dyDescent="0.45">
      <c r="A24" s="6" t="s">
        <v>85</v>
      </c>
      <c r="B24" s="5">
        <f>B7*0.1</f>
        <v>6.1000000000000005</v>
      </c>
      <c r="C24" s="5">
        <f>C7*0.1</f>
        <v>7.1000000000000005</v>
      </c>
      <c r="D24" s="5">
        <f t="shared" ref="D24:E24" si="7">D7*0.1</f>
        <v>8.2000000000000011</v>
      </c>
      <c r="E24" s="5">
        <f t="shared" si="7"/>
        <v>9.7000000000000011</v>
      </c>
      <c r="F24" s="9">
        <v>0.1</v>
      </c>
    </row>
    <row r="30" spans="1:9" ht="14.25" customHeight="1" x14ac:dyDescent="0.45"/>
    <row r="31" spans="1:9" ht="14.65" customHeight="1" x14ac:dyDescent="0.45"/>
    <row r="32" spans="1:9" x14ac:dyDescent="0.45">
      <c r="I32" s="11"/>
    </row>
    <row r="33" spans="9:9" x14ac:dyDescent="0.45">
      <c r="I33" s="12"/>
    </row>
    <row r="34" spans="9:9" x14ac:dyDescent="0.45">
      <c r="I34" s="12"/>
    </row>
    <row r="35" spans="9:9" x14ac:dyDescent="0.45">
      <c r="I35" s="12"/>
    </row>
    <row r="36" spans="9:9" x14ac:dyDescent="0.45">
      <c r="I36" s="12"/>
    </row>
    <row r="37" spans="9:9" x14ac:dyDescent="0.45">
      <c r="I37" s="12"/>
    </row>
    <row r="38" spans="9:9" x14ac:dyDescent="0.45">
      <c r="I38" s="12"/>
    </row>
    <row r="39" spans="9:9" x14ac:dyDescent="0.45">
      <c r="I39" s="12"/>
    </row>
    <row r="40" spans="9:9" x14ac:dyDescent="0.45">
      <c r="I40" s="12"/>
    </row>
    <row r="41" spans="9:9" x14ac:dyDescent="0.45">
      <c r="I41" s="12"/>
    </row>
    <row r="42" spans="9:9" x14ac:dyDescent="0.45">
      <c r="I42" s="12"/>
    </row>
    <row r="43" spans="9:9" x14ac:dyDescent="0.45">
      <c r="I43" s="12"/>
    </row>
    <row r="44" spans="9:9" x14ac:dyDescent="0.45">
      <c r="I44" s="12"/>
    </row>
    <row r="45" spans="9:9" x14ac:dyDescent="0.45">
      <c r="I45" s="12"/>
    </row>
    <row r="46" spans="9:9" x14ac:dyDescent="0.45">
      <c r="I46" s="12"/>
    </row>
  </sheetData>
  <mergeCells count="3">
    <mergeCell ref="B4:B6"/>
    <mergeCell ref="C4:E4"/>
    <mergeCell ref="A2:C2"/>
  </mergeCells>
  <pageMargins left="0.7" right="0.7" top="0.75" bottom="0.75" header="0.3" footer="0.3"/>
  <ignoredErrors>
    <ignoredError sqref="C13:E1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7c17e1-e715-47f5-883d-db2c890dc1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59E21DEF73334EB60130319FD75A1C" ma:contentTypeVersion="14" ma:contentTypeDescription="Create a new document." ma:contentTypeScope="" ma:versionID="559f08d64ae538e3f68ac03d0fc3693e">
  <xsd:schema xmlns:xsd="http://www.w3.org/2001/XMLSchema" xmlns:xs="http://www.w3.org/2001/XMLSchema" xmlns:p="http://schemas.microsoft.com/office/2006/metadata/properties" xmlns:ns2="777c17e1-e715-47f5-883d-db2c890dc11f" xmlns:ns3="e2706e14-3723-49d2-9db1-822337095ad8" targetNamespace="http://schemas.microsoft.com/office/2006/metadata/properties" ma:root="true" ma:fieldsID="8e91649fa1f7d40af65213750ab12094" ns2:_="" ns3:_="">
    <xsd:import namespace="777c17e1-e715-47f5-883d-db2c890dc11f"/>
    <xsd:import namespace="e2706e14-3723-49d2-9db1-822337095a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c17e1-e715-47f5-883d-db2c890dc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170dfe4-a068-4e15-a218-20c692012b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06e14-3723-49d2-9db1-822337095a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53FDF8-CF0F-4BA1-891D-CAEF51E093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C1441D-6AAB-4006-A4F5-D358B96AA5E5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e2706e14-3723-49d2-9db1-822337095ad8"/>
    <ds:schemaRef ds:uri="777c17e1-e715-47f5-883d-db2c890dc11f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69356B-651C-4576-BD49-34AFD112F8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General Scale Worksheet</vt:lpstr>
      <vt:lpstr>TMA Tariff Rate Chart</vt:lpstr>
      <vt:lpstr>'General Scale Worksheet'!Print_Area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Maggie Hopkins</dc:creator>
  <cp:keywords/>
  <dc:description/>
  <cp:lastModifiedBy>Maggie Hopkins</cp:lastModifiedBy>
  <cp:revision/>
  <cp:lastPrinted>2026-01-20T16:52:59Z</cp:lastPrinted>
  <dcterms:created xsi:type="dcterms:W3CDTF">2023-04-20T16:59:57Z</dcterms:created>
  <dcterms:modified xsi:type="dcterms:W3CDTF">2026-01-20T17:10:02Z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0x010100FB59E21DEF73334EB60130319FD75A1C</vt:lpwstr>
  </property>
  <property fmtid="{D5CDD505-2E9C-101B-9397-08002B2CF9AE}" pid="3" name="MediaServiceImageTags">
    <vt:lpwstr/>
  </property>
</Properties>
</file>